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20" yWindow="555" windowWidth="18525" windowHeight="9855" tabRatio="739" activeTab="1"/>
  </bookViews>
  <sheets>
    <sheet name="INSTRUCTIONS" sheetId="15" r:id="rId1"/>
    <sheet name="Application" sheetId="2" r:id="rId2"/>
    <sheet name="ApprovalCover" sheetId="17" r:id="rId3"/>
    <sheet name="Geographic Lookups &amp; Caps" sheetId="19" r:id="rId4"/>
    <sheet name="Rate Bands" sheetId="11" r:id="rId5"/>
    <sheet name="OSD Service Life of Assets" sheetId="10" r:id="rId6"/>
    <sheet name="CMR Reference" sheetId="4" r:id="rId7"/>
    <sheet name="Data" sheetId="18" r:id="rId8"/>
  </sheets>
  <definedNames>
    <definedName name="_xlnm._FilterDatabase" localSheetId="3" hidden="1">'Geographic Lookups &amp; Caps'!$F$9:$F$64</definedName>
    <definedName name="ABIMonthlyCAP">'Geographic Lookups &amp; Caps'!$C$356</definedName>
    <definedName name="ABIMonthlyCAPplus1">'Geographic Lookups &amp; Caps'!$C$357</definedName>
    <definedName name="ActiveCap">Application!$M$59</definedName>
    <definedName name="AgencyApprovalDate">ApprovalCover!$E$35</definedName>
    <definedName name="ALTRCapacity">Application!$I$13</definedName>
    <definedName name="AnnInterestConstr">Application!$H$27</definedName>
    <definedName name="AnnInterestExisting">Application!$D$26</definedName>
    <definedName name="AnnLeaseAmt">Application!$M$21</definedName>
    <definedName name="AnnTotal">Application!$A$156</definedName>
    <definedName name="AreaOffice">Application!$L$4</definedName>
    <definedName name="Break" comment="Created Line Breaks that work on both Macs and PCs">'Geographic Lookups &amp; Caps'!$K$71</definedName>
    <definedName name="CapException">Application!$U$27</definedName>
    <definedName name="CAPExemption">Application!$A$186</definedName>
    <definedName name="CapIsApplied">Application!$A$184</definedName>
    <definedName name="CapitalLease">Application!$A$166</definedName>
    <definedName name="CEDACAppDate">Application!$L$27</definedName>
    <definedName name="CEDACAPPLIED">Application!$A$181</definedName>
    <definedName name="City">Application!$E$10</definedName>
    <definedName name="ConstructionCompletionDate">Application!$H$24</definedName>
    <definedName name="ConstructionCost">Application!$H$22</definedName>
    <definedName name="ConstructionFinanced">Application!$H$23</definedName>
    <definedName name="COnstructionInterestRate">Application!$H$25</definedName>
    <definedName name="ConstructionTermOfLoan">Application!$H$26</definedName>
    <definedName name="ContractTypeOK">Application!$A$189</definedName>
    <definedName name="DailyCost">Application!$A$154</definedName>
    <definedName name="DailyRate">Application!$A$155</definedName>
    <definedName name="DDSABI">Application!$A$178</definedName>
    <definedName name="DDSOnly">Application!#REF!</definedName>
    <definedName name="DDSRes">Application!$A$177</definedName>
    <definedName name="Engagement">Application!$J$7</definedName>
    <definedName name="ExceptionRate">Application!$M$62</definedName>
    <definedName name="ExistingHouse">Application!$A$173</definedName>
    <definedName name="HouseFinanced">Application!$D$22</definedName>
    <definedName name="HouseIntRate">Application!$D$23</definedName>
    <definedName name="HouseLoanTerm">Application!$D$24</definedName>
    <definedName name="InsCap">Application!$G$154</definedName>
    <definedName name="LandCost">Application!$H$20</definedName>
    <definedName name="LandFinanced">Application!$H$21</definedName>
    <definedName name="Lease">Application!$A$165</definedName>
    <definedName name="LeaseAmount">Application!$M$20</definedName>
    <definedName name="LeaseORCapitalLease">Application!$A$167</definedName>
    <definedName name="MCBRes">Application!$A$179</definedName>
    <definedName name="MonthlyLease">Application!$A$165</definedName>
    <definedName name="MoveInCompleted">Application!$A$171</definedName>
    <definedName name="MoveInDate">Application!$L$72</definedName>
    <definedName name="MoveInPending">Application!$A$170</definedName>
    <definedName name="MRCRes">Application!$A$180</definedName>
    <definedName name="NewConstruction">Application!$A$172</definedName>
    <definedName name="PctDeprecType3Bldg">'OSD Service Life of Assets'!$D$9</definedName>
    <definedName name="PerPersonBeforeOfffsets">Application!$M$58</definedName>
    <definedName name="PILT">Application!$D$25</definedName>
    <definedName name="_xlnm.Print_Area" localSheetId="1">Application!$B$1:$M$74</definedName>
    <definedName name="_xlnm.Print_Area" localSheetId="2">ApprovalCover!$C$1:$J$35</definedName>
    <definedName name="_xlnm.Print_Area" localSheetId="6">'CMR Reference'!$B$1:$B$7</definedName>
    <definedName name="_xlnm.Print_Area" localSheetId="0">INSTRUCTIONS!$B$2:$E$26</definedName>
    <definedName name="ProjAnnExpenses">Application!$M$56</definedName>
    <definedName name="ProviderName">Application!$D$7</definedName>
    <definedName name="Purchase">Application!$A$164</definedName>
    <definedName name="Purchasedate">Application!$D$20</definedName>
    <definedName name="PurchasePrice">Application!$D$21</definedName>
    <definedName name="RateCapText">Application!$K$59</definedName>
    <definedName name="RateCapValue">Application!$H$148</definedName>
    <definedName name="RateTextValue">Application!$H$149</definedName>
    <definedName name="RegCap">Application!$A$187</definedName>
    <definedName name="RegCapPlus1">Application!$A$188</definedName>
    <definedName name="RegionalCap">Application!$A$182</definedName>
    <definedName name="RegionSelected">Application!$J$11</definedName>
    <definedName name="RelatedPartyNo">Application!$A$176</definedName>
    <definedName name="RelatedPartyYes">Application!$A$175</definedName>
    <definedName name="SiteApprovalDate">Application!$L$25</definedName>
    <definedName name="SiteApprovalGTEQFY19">Application!$A$185</definedName>
    <definedName name="SiteType">Table13[Site Type Display]</definedName>
    <definedName name="SiteTypeEntry">Application!$E$11</definedName>
    <definedName name="SiteTypeLookup">Table13[]</definedName>
    <definedName name="State">Application!$H$10</definedName>
    <definedName name="Street">Application!$E$9</definedName>
    <definedName name="TotalCapacity">Application!$D$13</definedName>
    <definedName name="Version">Application!$C$2</definedName>
    <definedName name="ZIP">Application!$J$10</definedName>
  </definedNames>
  <calcPr calcId="145621"/>
  <customWorkbookViews>
    <customWorkbookView name="Taylor, Martha (EHS) - Personal View" guid="{FBB71ECB-BCC0-464A-AF19-7974BE7447AA}" mergeInterval="0" personalView="1" maximized="1" windowWidth="1436" windowHeight="687" activeSheetId="1"/>
  </customWorkbookViews>
</workbook>
</file>

<file path=xl/calcChain.xml><?xml version="1.0" encoding="utf-8"?>
<calcChain xmlns="http://schemas.openxmlformats.org/spreadsheetml/2006/main">
  <c r="M3" i="2" l="1"/>
  <c r="U27" i="2" l="1"/>
  <c r="Z51" i="2" s="1"/>
  <c r="A185" i="2"/>
  <c r="K48" i="2" l="1"/>
  <c r="J24" i="2"/>
  <c r="DY2" i="18" l="1"/>
  <c r="K20" i="2"/>
  <c r="M21" i="2"/>
  <c r="P41" i="2" s="1"/>
  <c r="P38" i="2"/>
  <c r="DB2" i="18"/>
  <c r="CY2" i="18"/>
  <c r="CV2" i="18"/>
  <c r="CS2" i="18"/>
  <c r="CP2" i="18"/>
  <c r="CK2" i="18" l="1"/>
  <c r="CJ2" i="18"/>
  <c r="CI2" i="18"/>
  <c r="CH2" i="18"/>
  <c r="CG2" i="18"/>
  <c r="CE2" i="18"/>
  <c r="CD2" i="18"/>
  <c r="CC2" i="18"/>
  <c r="CB2" i="18"/>
  <c r="CA2" i="18"/>
  <c r="BY2" i="18"/>
  <c r="BX2" i="18"/>
  <c r="BW2" i="18"/>
  <c r="BV2" i="18"/>
  <c r="BU2" i="18"/>
  <c r="BS2" i="18"/>
  <c r="BR2" i="18"/>
  <c r="BQ2" i="18"/>
  <c r="BP2" i="18"/>
  <c r="BO2" i="18"/>
  <c r="BM2" i="18"/>
  <c r="BL2" i="18"/>
  <c r="BK2" i="18"/>
  <c r="BJ2" i="18"/>
  <c r="BI2" i="18"/>
  <c r="BG2" i="18"/>
  <c r="BF2" i="18"/>
  <c r="BE2" i="18"/>
  <c r="BD2" i="18"/>
  <c r="BC2" i="18"/>
  <c r="BA2" i="18"/>
  <c r="AZ2" i="18"/>
  <c r="AY2" i="18"/>
  <c r="AX2" i="18"/>
  <c r="AW2" i="18"/>
  <c r="AU2" i="18"/>
  <c r="J36" i="2"/>
  <c r="AS2" i="18" s="1"/>
  <c r="K32" i="2"/>
  <c r="AO2" i="18" s="1"/>
  <c r="AN2" i="18"/>
  <c r="AM2" i="18"/>
  <c r="AK2" i="18"/>
  <c r="AI2" i="18"/>
  <c r="AH2" i="18"/>
  <c r="AC2" i="18"/>
  <c r="AG2" i="18"/>
  <c r="C19" i="2"/>
  <c r="D26" i="2"/>
  <c r="P39" i="2" s="1"/>
  <c r="A167" i="2"/>
  <c r="I25" i="2" s="1"/>
  <c r="F168" i="2"/>
  <c r="E22" i="2" l="1"/>
  <c r="E24" i="2"/>
  <c r="E21" i="2"/>
  <c r="E23" i="2"/>
  <c r="E25" i="2"/>
  <c r="E20" i="2"/>
  <c r="I22" i="2"/>
  <c r="I24" i="2"/>
  <c r="I26" i="2"/>
  <c r="I23" i="2"/>
  <c r="A189" i="2"/>
  <c r="K13" i="2" l="1"/>
  <c r="P15" i="2"/>
  <c r="N22" i="2"/>
  <c r="O45" i="2"/>
  <c r="P54" i="2"/>
  <c r="H27" i="2" l="1"/>
  <c r="P40" i="2" s="1"/>
  <c r="K10" i="2"/>
  <c r="J13" i="2"/>
  <c r="E13" i="2"/>
  <c r="K9" i="2"/>
  <c r="G7" i="2"/>
  <c r="A2" i="19" l="1"/>
  <c r="M50" i="2" l="1"/>
  <c r="L50" i="2" l="1"/>
  <c r="CT2" i="18" s="1"/>
  <c r="CU2" i="18"/>
  <c r="Q50" i="2"/>
  <c r="M52" i="2"/>
  <c r="M49" i="2"/>
  <c r="M53" i="2"/>
  <c r="DD2" i="18" s="1"/>
  <c r="L52" i="2" l="1"/>
  <c r="CZ2" i="18" s="1"/>
  <c r="DA2" i="18"/>
  <c r="L49" i="2"/>
  <c r="CQ2" i="18" s="1"/>
  <c r="CR2" i="18"/>
  <c r="Q53" i="2"/>
  <c r="L53" i="2"/>
  <c r="DC2" i="18" s="1"/>
  <c r="Q52" i="2"/>
  <c r="Q49" i="2"/>
  <c r="D3" i="11"/>
  <c r="D2"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E154" i="2"/>
  <c r="D154" i="2"/>
  <c r="C154" i="2"/>
  <c r="F154" i="2" l="1"/>
  <c r="G154" i="2" l="1"/>
  <c r="O58" i="2" s="1"/>
  <c r="J54" i="2"/>
  <c r="DE2" i="18" s="1"/>
  <c r="M51" i="2" l="1"/>
  <c r="DO2" i="18"/>
  <c r="L51" i="2" l="1"/>
  <c r="CW2" i="18" s="1"/>
  <c r="CX2" i="18"/>
  <c r="Q51" i="2"/>
  <c r="H36" i="2" l="1"/>
  <c r="AR2" i="18" s="1"/>
  <c r="DZ2" i="18"/>
  <c r="DX2" i="18"/>
  <c r="DW2" i="18"/>
  <c r="DV2" i="18"/>
  <c r="DU2" i="18"/>
  <c r="DT2" i="18"/>
  <c r="DS2" i="18"/>
  <c r="DQ2" i="18"/>
  <c r="DP2" i="18"/>
  <c r="DR2" i="18"/>
  <c r="DN2" i="18"/>
  <c r="H9" i="17"/>
  <c r="AL2" i="18" l="1"/>
  <c r="H136" i="2"/>
  <c r="H135" i="2"/>
  <c r="H132" i="2"/>
  <c r="H131" i="2"/>
  <c r="G146" i="2"/>
  <c r="AC146" i="2" s="1"/>
  <c r="G144" i="2"/>
  <c r="AC144" i="2" s="1"/>
  <c r="G142" i="2"/>
  <c r="AC142" i="2" s="1"/>
  <c r="G138" i="2"/>
  <c r="AC138" i="2" s="1"/>
  <c r="G136" i="2"/>
  <c r="AC136" i="2" s="1"/>
  <c r="G134" i="2"/>
  <c r="AC134" i="2" s="1"/>
  <c r="G145" i="2"/>
  <c r="AC145" i="2" s="1"/>
  <c r="G143" i="2"/>
  <c r="AC143" i="2" s="1"/>
  <c r="G141" i="2"/>
  <c r="AC141" i="2" s="1"/>
  <c r="G140" i="2"/>
  <c r="AC140" i="2" s="1"/>
  <c r="G139" i="2"/>
  <c r="AC139" i="2" s="1"/>
  <c r="G137" i="2"/>
  <c r="AC137" i="2" s="1"/>
  <c r="G135" i="2"/>
  <c r="AC135" i="2" s="1"/>
  <c r="G133" i="2"/>
  <c r="AC133" i="2" s="1"/>
  <c r="G132" i="2"/>
  <c r="AC132" i="2" s="1"/>
  <c r="G131" i="2"/>
  <c r="AC131" i="2" s="1"/>
  <c r="H149" i="2" l="1"/>
  <c r="L131" i="2"/>
  <c r="A186" i="2" l="1"/>
  <c r="T59" i="2" s="1"/>
  <c r="K33" i="2"/>
  <c r="AP2" i="18" s="1"/>
  <c r="D17" i="2"/>
  <c r="AF2" i="18" l="1"/>
  <c r="AE2" i="18"/>
  <c r="AD2" i="18"/>
  <c r="AA2" i="18"/>
  <c r="AB2" i="18"/>
  <c r="Y2" i="18"/>
  <c r="X2" i="18"/>
  <c r="W2" i="18"/>
  <c r="V2" i="18"/>
  <c r="U2" i="18"/>
  <c r="T2" i="18"/>
  <c r="S2" i="18"/>
  <c r="Q2" i="18"/>
  <c r="R2" i="18"/>
  <c r="C2" i="18"/>
  <c r="B2" i="18"/>
  <c r="P2" i="18"/>
  <c r="O2" i="18"/>
  <c r="N2" i="18"/>
  <c r="L2" i="18"/>
  <c r="K2" i="18"/>
  <c r="J2" i="18"/>
  <c r="I2" i="18"/>
  <c r="H2" i="18"/>
  <c r="G2" i="18"/>
  <c r="F2" i="18"/>
  <c r="E2" i="18"/>
  <c r="D2" i="18"/>
  <c r="A2" i="18"/>
  <c r="J8" i="2"/>
  <c r="K71" i="19" l="1"/>
  <c r="M23" i="2" s="1"/>
  <c r="I58" i="2" l="1"/>
  <c r="I21" i="2"/>
  <c r="L6" i="2"/>
  <c r="G18" i="2"/>
  <c r="I20" i="2"/>
  <c r="A1" i="19"/>
  <c r="D15" i="2"/>
  <c r="H2" i="19"/>
  <c r="L35" i="2"/>
  <c r="J62" i="2"/>
  <c r="H11" i="17"/>
  <c r="M14" i="2"/>
  <c r="K18" i="2"/>
  <c r="E7" i="17" l="1"/>
  <c r="K36" i="2" l="1"/>
  <c r="AT2" i="18" s="1"/>
  <c r="E5" i="17"/>
  <c r="E3" i="17"/>
  <c r="J11" i="2"/>
  <c r="J27" i="2"/>
  <c r="M36" i="2" l="1"/>
  <c r="AV2" i="18" s="1"/>
  <c r="A187" i="2"/>
  <c r="A188" i="2"/>
  <c r="H139" i="2" s="1"/>
  <c r="A182" i="2"/>
  <c r="U57" i="2" s="1"/>
  <c r="M2" i="18"/>
  <c r="L8" i="2"/>
  <c r="G11" i="2"/>
  <c r="C10" i="2"/>
  <c r="O39" i="2" l="1"/>
  <c r="H143" i="2"/>
  <c r="H144" i="2"/>
  <c r="H140" i="2"/>
  <c r="M27" i="2"/>
  <c r="H148" i="2" l="1"/>
  <c r="J20" i="2"/>
  <c r="AJ2" i="18"/>
  <c r="M43" i="2" l="1"/>
  <c r="CL2" i="18" s="1"/>
  <c r="L31" i="2"/>
  <c r="G73" i="2"/>
  <c r="F4" i="2"/>
  <c r="K4" i="2"/>
  <c r="Z2" i="18"/>
  <c r="J70" i="2"/>
  <c r="J68" i="2"/>
  <c r="M70" i="2"/>
  <c r="M68" i="2"/>
  <c r="G69" i="2"/>
  <c r="G67" i="2"/>
  <c r="I53" i="2"/>
  <c r="I52" i="2"/>
  <c r="I51" i="2"/>
  <c r="I50" i="2"/>
  <c r="I49" i="2"/>
  <c r="C36" i="2"/>
  <c r="AQ2" i="18" s="1"/>
  <c r="M73" i="2"/>
  <c r="M72" i="2"/>
  <c r="M42" i="2"/>
  <c r="CF2" i="18" s="1"/>
  <c r="M41" i="2"/>
  <c r="BZ2" i="18" s="1"/>
  <c r="M40" i="2"/>
  <c r="BT2" i="18" s="1"/>
  <c r="M39" i="2"/>
  <c r="BN2" i="18" s="1"/>
  <c r="M38" i="2"/>
  <c r="BH2" i="18" s="1"/>
  <c r="M37" i="2"/>
  <c r="BB2" i="18" s="1"/>
  <c r="J60" i="2" l="1"/>
  <c r="J58" i="2"/>
  <c r="M46" i="2"/>
  <c r="L54" i="2" l="1"/>
  <c r="DF2" i="18" s="1"/>
  <c r="M44" i="2" l="1"/>
  <c r="CM2" i="18" s="1"/>
  <c r="M47" i="2" l="1"/>
  <c r="CN2" i="18" l="1"/>
  <c r="CO2" i="18"/>
  <c r="Q56" i="2"/>
  <c r="M56" i="2" s="1"/>
  <c r="DG2" i="18" s="1"/>
  <c r="A154" i="2" l="1"/>
  <c r="A155" i="2" s="1"/>
  <c r="A156" i="2" s="1"/>
  <c r="M58" i="2" s="1"/>
  <c r="DI2" i="18" s="1"/>
  <c r="M59" i="2" l="1"/>
  <c r="DK2" i="18" s="1"/>
  <c r="A184" i="2"/>
  <c r="K58" i="2" l="1"/>
  <c r="DH2" i="18"/>
  <c r="K59" i="2"/>
  <c r="T58" i="2"/>
  <c r="U59" i="2"/>
  <c r="O61" i="2"/>
  <c r="M60" i="2"/>
  <c r="DM2" i="18" s="1"/>
  <c r="E9" i="17"/>
  <c r="F11" i="17"/>
  <c r="K60" i="2" l="1"/>
  <c r="DL2" i="18" s="1"/>
  <c r="DJ2" i="18"/>
</calcChain>
</file>

<file path=xl/sharedStrings.xml><?xml version="1.0" encoding="utf-8"?>
<sst xmlns="http://schemas.openxmlformats.org/spreadsheetml/2006/main" count="1220" uniqueCount="805">
  <si>
    <t>Description</t>
  </si>
  <si>
    <t>[1]</t>
  </si>
  <si>
    <t>[2]</t>
  </si>
  <si>
    <t>(A)</t>
  </si>
  <si>
    <t>(B)</t>
  </si>
  <si>
    <t>(C)</t>
  </si>
  <si>
    <t>(D)</t>
  </si>
  <si>
    <t>(E)</t>
  </si>
  <si>
    <t>(Please attach all supporting documentation)</t>
  </si>
  <si>
    <t>[3]</t>
  </si>
  <si>
    <t>[4]</t>
  </si>
  <si>
    <t>[5]</t>
  </si>
  <si>
    <t>[6]</t>
  </si>
  <si>
    <t>Annual Depreciation</t>
  </si>
  <si>
    <t>[7]</t>
  </si>
  <si>
    <t>(F)</t>
  </si>
  <si>
    <t>(G)</t>
  </si>
  <si>
    <t>(H)</t>
  </si>
  <si>
    <t>(a)   the transaction is for a good or service which the Related Party sells to the general public;</t>
  </si>
  <si>
    <t>(b)   the Related Party’s transactions with the Contractor in the reporting year comprise less than 10% of the Related Party’s annual sales of that good or service to the general public (excluding sales to other parties also related to the Related Party under FASB 57); and</t>
  </si>
  <si>
    <t>(c)   the Contractor has approved the transaction by vote of independent directors, or a committee of independent directors, following full disclosure of the Related Party’s interests.</t>
  </si>
  <si>
    <t>Further, costs associated with a Related Party transaction which would not be Reimbursable Operating Costs to a Contractor under 808 CMR 1.02 and 808 CMR 1.05 are non-reimbursable. Transactions with a Related Party totaling less than $100 annually may be reimbursed at market prices.</t>
  </si>
  <si>
    <t>808 CMR 1.00: Compliance, Reporting and Auditing for Human and Social Services</t>
  </si>
  <si>
    <t xml:space="preserve">             1.05: Non-Reimbursable Costs</t>
  </si>
  <si>
    <t xml:space="preserve">Property Address - </t>
  </si>
  <si>
    <t>Street:</t>
  </si>
  <si>
    <t>Purchase Date:</t>
  </si>
  <si>
    <t>Purchase Price:</t>
  </si>
  <si>
    <t>Amount Financed:</t>
  </si>
  <si>
    <t>Estimate of Annual Offsets (SSI/Food Stamps,etc.) :</t>
  </si>
  <si>
    <t xml:space="preserve">Title:  </t>
  </si>
  <si>
    <t>Date:</t>
  </si>
  <si>
    <t xml:space="preserve">Buildings: </t>
  </si>
  <si>
    <t>Type 1 - Fireproof Construction and Type 2 - Non-</t>
  </si>
  <si>
    <t xml:space="preserve">Combustible Construction (as classified by the State Board </t>
  </si>
  <si>
    <t xml:space="preserve">of Building Regulations and Standards in accordance with </t>
  </si>
  <si>
    <t xml:space="preserve">780 CMR 400.00) </t>
  </si>
  <si>
    <t xml:space="preserve">Type 3 - External Masonry Wall Construction and Type 4 - </t>
  </si>
  <si>
    <t xml:space="preserve">Frame Construction (as classified by the State Board of </t>
  </si>
  <si>
    <t xml:space="preserve">Building Regulations and Standards in accordance with 780 </t>
  </si>
  <si>
    <t xml:space="preserve">CMR 400.00) </t>
  </si>
  <si>
    <t xml:space="preserve">Life Safety Improvements: </t>
  </si>
  <si>
    <t xml:space="preserve">Building or leasehold improvements or equipment </t>
  </si>
  <si>
    <t xml:space="preserve">acquisitions made solely to satisfy the requirements of any </t>
  </si>
  <si>
    <t xml:space="preserve">Department regarding life safety or physical environment.  </t>
  </si>
  <si>
    <t xml:space="preserve">Purpose must be documented. </t>
  </si>
  <si>
    <t xml:space="preserve">The Massachusetts Code of Regulation 808 CMR 1.00 subscribes to the above but requires that depreciation be reported on the supplemental schedules on a straight-line basis over a service life not less than the periods given as follows: </t>
  </si>
  <si>
    <t xml:space="preserve">ASSET CATEGORY </t>
  </si>
  <si>
    <t>YEARS OF LIFE</t>
  </si>
  <si>
    <t>ANNUAL RATE</t>
  </si>
  <si>
    <t>Equipment</t>
  </si>
  <si>
    <t>Residential Furnishings</t>
  </si>
  <si>
    <t>-</t>
  </si>
  <si>
    <t>Projected move in/start date:</t>
  </si>
  <si>
    <t>Summary of Projected Annual Occupancy Expenses</t>
  </si>
  <si>
    <t>Utilities</t>
  </si>
  <si>
    <t>Maintenance</t>
  </si>
  <si>
    <t>Food</t>
  </si>
  <si>
    <t>Total Depreciation</t>
  </si>
  <si>
    <r>
      <t xml:space="preserve">(8)  </t>
    </r>
    <r>
      <rPr>
        <u/>
        <sz val="9"/>
        <color indexed="8"/>
        <rFont val="Calibri"/>
        <family val="2"/>
      </rPr>
      <t>Related Party Transaction Costs</t>
    </r>
    <r>
      <rPr>
        <sz val="9"/>
        <color indexed="8"/>
        <rFont val="Calibri"/>
        <family val="2"/>
      </rPr>
      <t>.  Costs which are associated with a Related Party transaction are reimbursable only to the extent that the costs do not exceed the lower of either the market price or the Related Party’s actual costs.  Notwithstanding the above provision, Related Party transaction costs are reimbursable up to market price when the following conditions are satisfied:</t>
    </r>
  </si>
  <si>
    <t xml:space="preserve">Mortgage Interest / PILT/ Rent  </t>
  </si>
  <si>
    <t>BY TYPING MY NAME HERE, I AGREE THAT I HAVE REVIEWED AND APPROVED THE CONTENT OF THIS DOCUMENT.</t>
  </si>
  <si>
    <r>
      <t xml:space="preserve">Total Cost
</t>
    </r>
    <r>
      <rPr>
        <b/>
        <i/>
        <sz val="10"/>
        <color theme="1"/>
        <rFont val="Calibri"/>
        <family val="2"/>
        <scheme val="minor"/>
      </rPr>
      <t>(Purchase Price)</t>
    </r>
  </si>
  <si>
    <t>Non-Capital Household Expenses</t>
  </si>
  <si>
    <t>City:</t>
  </si>
  <si>
    <t>Zip:</t>
  </si>
  <si>
    <t>Title:</t>
  </si>
  <si>
    <t>Application Preparer:</t>
  </si>
  <si>
    <t>Total Capacity:</t>
  </si>
  <si>
    <t>Name of Provider Agency:</t>
  </si>
  <si>
    <t>[8]</t>
  </si>
  <si>
    <t>Location:</t>
  </si>
  <si>
    <t>Notes:</t>
  </si>
  <si>
    <t>Land Cost:</t>
  </si>
  <si>
    <t>Purchase / Completion Date</t>
  </si>
  <si>
    <t>PILT (if N/A, enter 0):</t>
  </si>
  <si>
    <t>Agency  Area Contact Name:</t>
  </si>
  <si>
    <t>Land Financed:</t>
  </si>
  <si>
    <t>Construction Cost:</t>
  </si>
  <si>
    <t>Completion Date:</t>
  </si>
  <si>
    <t xml:space="preserve"> - </t>
  </si>
  <si>
    <t>Total Reductions per Guidelines</t>
  </si>
  <si>
    <t>TOTALS APPROVED</t>
  </si>
  <si>
    <t>TOTAL APPROVED EXPENSE FOR SITE</t>
  </si>
  <si>
    <t>Insurance</t>
  </si>
  <si>
    <t>Household</t>
  </si>
  <si>
    <t>Total Adjustments</t>
  </si>
  <si>
    <t>Monthly Billing Rate per person:</t>
  </si>
  <si>
    <t>Prepared by</t>
  </si>
  <si>
    <t xml:space="preserve">Is lessor a related party?  </t>
  </si>
  <si>
    <t>808 CMR 1.05(8)</t>
  </si>
  <si>
    <t>Assessed Land Value from assessor's office (purchase of existing houses only):</t>
  </si>
  <si>
    <t>Cost basis for building depreciation - existing house:</t>
  </si>
  <si>
    <t>Cost basis for building depreciation - new construction:</t>
  </si>
  <si>
    <t>Cost Basis for Depreciation</t>
  </si>
  <si>
    <t>Depreciation Schedule - Capital improvements, approved leasehold improvements, and depreciable items purchased with provider's funds.</t>
  </si>
  <si>
    <t>Construction Financed:</t>
  </si>
  <si>
    <t>I hereby certify that the figures above represent a good faith estimate of anticipated costs associated with the referenced location and that the figures will be subject to review, reconciliation and possible recoupment in the event that actual costs are less than reimbursement levels  (as described in the regulation,  101 CMR 420).  I also certify that this residence meets the particular needs of the individuals proposed for placement at this site.</t>
  </si>
  <si>
    <t>BY TYPING MY NAME HERE, I INDICATE THAT I HAVE REVIEWED THE CONTENT FOR COMPLETENESS.</t>
  </si>
  <si>
    <t xml:space="preserve">Cells requiring data input are colored in blue – yellow cells contain formulas that will auto-populate. The yellow cells are locked.  </t>
  </si>
  <si>
    <r>
      <t xml:space="preserve">The presence of a RED notation on the application (such as </t>
    </r>
    <r>
      <rPr>
        <b/>
        <sz val="12"/>
        <color rgb="FFFF0000"/>
        <rFont val="Calibri"/>
        <family val="2"/>
        <scheme val="minor"/>
      </rPr>
      <t>?</t>
    </r>
    <r>
      <rPr>
        <sz val="12"/>
        <color theme="1"/>
        <rFont val="Calibri"/>
        <family val="2"/>
        <scheme val="minor"/>
      </rPr>
      <t xml:space="preserve">, </t>
    </r>
    <r>
      <rPr>
        <b/>
        <sz val="12"/>
        <color rgb="FFFF0000"/>
        <rFont val="Calibri"/>
        <family val="2"/>
        <scheme val="minor"/>
      </rPr>
      <t>&lt;------</t>
    </r>
    <r>
      <rPr>
        <sz val="12"/>
        <color theme="1"/>
        <rFont val="Calibri"/>
        <family val="2"/>
        <scheme val="minor"/>
      </rPr>
      <t xml:space="preserve">, </t>
    </r>
    <r>
      <rPr>
        <b/>
        <sz val="12"/>
        <color rgb="FFFF0000"/>
        <rFont val="Calibri"/>
        <family val="2"/>
        <scheme val="minor"/>
      </rPr>
      <t>TITLE</t>
    </r>
    <r>
      <rPr>
        <sz val="12"/>
        <color theme="1"/>
        <rFont val="Calibri"/>
        <family val="2"/>
        <scheme val="minor"/>
      </rPr>
      <t xml:space="preserve">, etc.) indicates that the cell to which the notation refers needs data. The red notation will disappear after data is input. </t>
    </r>
  </si>
  <si>
    <t>INSTRUCTIONS FOR COMPLETING THE APPLICATION</t>
  </si>
  <si>
    <t>[9]</t>
  </si>
  <si>
    <t>Projected # of months used in first fiscal year:</t>
  </si>
  <si>
    <t>Ready to move in?</t>
  </si>
  <si>
    <t>Engagement #:</t>
  </si>
  <si>
    <t>The individual who prepared the application should type his/her name, title, and date.  Doing so attests that this application package represents best estimates of site-specific costs, supported by available documentation.</t>
  </si>
  <si>
    <t>Input annual anticipated offsets for individuals included in the ALTR Funded Capacity in line 3.   The projected move in/start date is the date on which the first resident is expected to move in.  Enter the projected number of months the site will be occupied during the first fiscal year of operation.</t>
  </si>
  <si>
    <t>Leasehold Improvements - Life Safety Improvements Only  (see below)</t>
  </si>
  <si>
    <t xml:space="preserve">Building/Improvements  </t>
  </si>
  <si>
    <t>The Area Office must be involved with all aspects of site development including site requirements and costs.</t>
  </si>
  <si>
    <t>Lease / Capital Lease Information:</t>
  </si>
  <si>
    <t>Annual Lease Amount:</t>
  </si>
  <si>
    <t xml:space="preserve">Other Program Equipment:  </t>
  </si>
  <si>
    <t>Includes items such as ovens, washers, dryers, refrigerators, generator</t>
  </si>
  <si>
    <t>Adjustments</t>
  </si>
  <si>
    <t>2-4 unit building</t>
  </si>
  <si>
    <t>5 or more unit building</t>
  </si>
  <si>
    <t>Type of Site:</t>
  </si>
  <si>
    <t>2-4</t>
  </si>
  <si>
    <t>5+</t>
  </si>
  <si>
    <t>Site Type Display</t>
  </si>
  <si>
    <t>DataVal</t>
  </si>
  <si>
    <t>single unit building</t>
  </si>
  <si>
    <r>
      <t xml:space="preserve">Acquisition Type   </t>
    </r>
    <r>
      <rPr>
        <b/>
        <sz val="9"/>
        <color rgb="FF000000"/>
        <rFont val="Calibri"/>
        <family val="2"/>
      </rPr>
      <t>(select 1):</t>
    </r>
  </si>
  <si>
    <t>Applying to CEDAC for FCF?</t>
  </si>
  <si>
    <t>Metro Boston</t>
  </si>
  <si>
    <t>Acton</t>
  </si>
  <si>
    <t>Read the policy</t>
  </si>
  <si>
    <t xml:space="preserve">Engagement #: </t>
  </si>
  <si>
    <t>Region</t>
  </si>
  <si>
    <t>Central / West</t>
  </si>
  <si>
    <t>per person per month</t>
  </si>
  <si>
    <t>Southeast</t>
  </si>
  <si>
    <t>Northeast</t>
  </si>
  <si>
    <t>Max Allowable Rates per Designated Regions per   101 CMR 420.03(8)</t>
  </si>
  <si>
    <t>Arlington</t>
  </si>
  <si>
    <t>Ashland</t>
  </si>
  <si>
    <t>Bedford</t>
  </si>
  <si>
    <t>Belmont</t>
  </si>
  <si>
    <t>Boston</t>
  </si>
  <si>
    <t>Boxborough</t>
  </si>
  <si>
    <t>Braintree</t>
  </si>
  <si>
    <t>Brookline</t>
  </si>
  <si>
    <t>Burlington</t>
  </si>
  <si>
    <t>Cambridge</t>
  </si>
  <si>
    <t>Canton</t>
  </si>
  <si>
    <t>Carlisle</t>
  </si>
  <si>
    <t>Chelsea</t>
  </si>
  <si>
    <t>Cohasset</t>
  </si>
  <si>
    <t>Concord</t>
  </si>
  <si>
    <t>Dedham</t>
  </si>
  <si>
    <t>Dover</t>
  </si>
  <si>
    <t>Foxborough</t>
  </si>
  <si>
    <t>Framingham</t>
  </si>
  <si>
    <t>Hingham</t>
  </si>
  <si>
    <t>Holliston</t>
  </si>
  <si>
    <t>Hopkinton</t>
  </si>
  <si>
    <t>Hudson</t>
  </si>
  <si>
    <t>Lexington</t>
  </si>
  <si>
    <t>Lincoln</t>
  </si>
  <si>
    <t>Littleton</t>
  </si>
  <si>
    <t>Marlborough</t>
  </si>
  <si>
    <t>Medfield</t>
  </si>
  <si>
    <t>Millis</t>
  </si>
  <si>
    <t>Milton</t>
  </si>
  <si>
    <t>Natick</t>
  </si>
  <si>
    <t>Needham</t>
  </si>
  <si>
    <t>Newton</t>
  </si>
  <si>
    <t>Norfolk</t>
  </si>
  <si>
    <t>Northborough</t>
  </si>
  <si>
    <t>Norwell</t>
  </si>
  <si>
    <t>Norwood</t>
  </si>
  <si>
    <t>Plainville</t>
  </si>
  <si>
    <t>Quincy</t>
  </si>
  <si>
    <t>Revere</t>
  </si>
  <si>
    <t>Sharon</t>
  </si>
  <si>
    <t>Sherborn</t>
  </si>
  <si>
    <t>Somerville</t>
  </si>
  <si>
    <t>Southborough</t>
  </si>
  <si>
    <t>Stow</t>
  </si>
  <si>
    <t>Sudbury</t>
  </si>
  <si>
    <t>Walpole</t>
  </si>
  <si>
    <t>Waltham</t>
  </si>
  <si>
    <t>Watertown</t>
  </si>
  <si>
    <t>Wayland</t>
  </si>
  <si>
    <t>Wellesley</t>
  </si>
  <si>
    <t>Westborough</t>
  </si>
  <si>
    <t>Weston</t>
  </si>
  <si>
    <t>Westwood</t>
  </si>
  <si>
    <t>Wilmington</t>
  </si>
  <si>
    <t>Winchester</t>
  </si>
  <si>
    <t>Winthrop</t>
  </si>
  <si>
    <t>Woburn</t>
  </si>
  <si>
    <t>Wrentham</t>
  </si>
  <si>
    <t>Abington</t>
  </si>
  <si>
    <t>Amesbury</t>
  </si>
  <si>
    <t>Adams</t>
  </si>
  <si>
    <t>Central/West</t>
  </si>
  <si>
    <t>Acushnet</t>
  </si>
  <si>
    <t>Aquinnah</t>
  </si>
  <si>
    <t>Attleborough</t>
  </si>
  <si>
    <t>Avon</t>
  </si>
  <si>
    <t>Barnstable</t>
  </si>
  <si>
    <t>Berkley</t>
  </si>
  <si>
    <t>Bourne</t>
  </si>
  <si>
    <t>Brewster</t>
  </si>
  <si>
    <t>Bridgewater</t>
  </si>
  <si>
    <t>Brockton</t>
  </si>
  <si>
    <t>Carver</t>
  </si>
  <si>
    <t>Chatham</t>
  </si>
  <si>
    <t>Chilmark</t>
  </si>
  <si>
    <t>Dartmouth</t>
  </si>
  <si>
    <t>Dennis</t>
  </si>
  <si>
    <t>Dighton</t>
  </si>
  <si>
    <t>Duxbury</t>
  </si>
  <si>
    <t>East Bridgewater</t>
  </si>
  <si>
    <t>Eastham</t>
  </si>
  <si>
    <t>Easton</t>
  </si>
  <si>
    <t>Edgartown</t>
  </si>
  <si>
    <t>Fairhaven</t>
  </si>
  <si>
    <t>Fall River</t>
  </si>
  <si>
    <t>Falmouth</t>
  </si>
  <si>
    <t>Freetown</t>
  </si>
  <si>
    <t>Gosnold</t>
  </si>
  <si>
    <t>Halifax</t>
  </si>
  <si>
    <t>Hanover</t>
  </si>
  <si>
    <t>Hanson</t>
  </si>
  <si>
    <t>Harwich</t>
  </si>
  <si>
    <t>Holbrook</t>
  </si>
  <si>
    <t>Hull</t>
  </si>
  <si>
    <t>Kingston</t>
  </si>
  <si>
    <t>Lakeville</t>
  </si>
  <si>
    <t>Mansfield</t>
  </si>
  <si>
    <t>Marion</t>
  </si>
  <si>
    <t>Marshfield</t>
  </si>
  <si>
    <t>Mashpee</t>
  </si>
  <si>
    <t>Mattapoisett</t>
  </si>
  <si>
    <t>Middleborough</t>
  </si>
  <si>
    <t>Nantucket</t>
  </si>
  <si>
    <t>New Bedford</t>
  </si>
  <si>
    <t>North Attleborough</t>
  </si>
  <si>
    <t>Norton</t>
  </si>
  <si>
    <t>Oak Bluffs</t>
  </si>
  <si>
    <t>Orleans</t>
  </si>
  <si>
    <t>Pembroke</t>
  </si>
  <si>
    <t>Plymouth</t>
  </si>
  <si>
    <t>Plympton</t>
  </si>
  <si>
    <t>Provincetown</t>
  </si>
  <si>
    <t>Randolph</t>
  </si>
  <si>
    <t>Raynham</t>
  </si>
  <si>
    <t>Rehoboth</t>
  </si>
  <si>
    <t>Rochester</t>
  </si>
  <si>
    <t>Rockland</t>
  </si>
  <si>
    <t>Sandwich</t>
  </si>
  <si>
    <t>Scituate</t>
  </si>
  <si>
    <t>Seekonk</t>
  </si>
  <si>
    <t>Somerset</t>
  </si>
  <si>
    <t>Stoughton</t>
  </si>
  <si>
    <t>Swansea</t>
  </si>
  <si>
    <t>Taunton</t>
  </si>
  <si>
    <t>Tisbury</t>
  </si>
  <si>
    <t>Truro</t>
  </si>
  <si>
    <t>Wareham</t>
  </si>
  <si>
    <t>Wellfleet</t>
  </si>
  <si>
    <t>West Bridgewater</t>
  </si>
  <si>
    <t>West Tisbury</t>
  </si>
  <si>
    <t>Westport</t>
  </si>
  <si>
    <t>Weymouth</t>
  </si>
  <si>
    <t>Whitman</t>
  </si>
  <si>
    <t>Yarmouth</t>
  </si>
  <si>
    <t>Andover</t>
  </si>
  <si>
    <t>Beverly</t>
  </si>
  <si>
    <t>Billerica</t>
  </si>
  <si>
    <t>Boxford</t>
  </si>
  <si>
    <t>Chelmsford</t>
  </si>
  <si>
    <t>Danvers</t>
  </si>
  <si>
    <t>Dracut</t>
  </si>
  <si>
    <t>Dunstable</t>
  </si>
  <si>
    <t>Essex</t>
  </si>
  <si>
    <t>Everett</t>
  </si>
  <si>
    <t>Georgetown</t>
  </si>
  <si>
    <t>Gloucester</t>
  </si>
  <si>
    <t>Groveland</t>
  </si>
  <si>
    <t>Hamilton</t>
  </si>
  <si>
    <t>Haverhill</t>
  </si>
  <si>
    <t>Ipswich</t>
  </si>
  <si>
    <t>Lawrence</t>
  </si>
  <si>
    <t>Lowell</t>
  </si>
  <si>
    <t>Lynn</t>
  </si>
  <si>
    <t>Lynnfield</t>
  </si>
  <si>
    <t>Malden</t>
  </si>
  <si>
    <t>Manchester by the Sea</t>
  </si>
  <si>
    <t>Marblehead</t>
  </si>
  <si>
    <t>Maynard</t>
  </si>
  <si>
    <t>Medford</t>
  </si>
  <si>
    <t>Melrose</t>
  </si>
  <si>
    <t>Merrimac</t>
  </si>
  <si>
    <t>Methuen</t>
  </si>
  <si>
    <t>Middleton</t>
  </si>
  <si>
    <t>Nahant</t>
  </si>
  <si>
    <t>Newbury</t>
  </si>
  <si>
    <t>Newburyport</t>
  </si>
  <si>
    <t>North Andover</t>
  </si>
  <si>
    <t>North Reading</t>
  </si>
  <si>
    <t>Peabody</t>
  </si>
  <si>
    <t>Reading</t>
  </si>
  <si>
    <t>Rockport</t>
  </si>
  <si>
    <t>Rowley</t>
  </si>
  <si>
    <t>Salem</t>
  </si>
  <si>
    <t>Salisbury</t>
  </si>
  <si>
    <t>Saugus</t>
  </si>
  <si>
    <t>Stoneham</t>
  </si>
  <si>
    <t>Swampscott</t>
  </si>
  <si>
    <t>Tewksbury</t>
  </si>
  <si>
    <t>Topsfield</t>
  </si>
  <si>
    <t>Tyngsborough</t>
  </si>
  <si>
    <t>Wakefield</t>
  </si>
  <si>
    <t>Wenham</t>
  </si>
  <si>
    <t>West Newbury</t>
  </si>
  <si>
    <t>Westford</t>
  </si>
  <si>
    <t>Agawam</t>
  </si>
  <si>
    <t>Alford</t>
  </si>
  <si>
    <t>Amherst</t>
  </si>
  <si>
    <t>Ashburnham</t>
  </si>
  <si>
    <t>Ashby</t>
  </si>
  <si>
    <t>Ashfield</t>
  </si>
  <si>
    <t>Athol</t>
  </si>
  <si>
    <t>Auburn</t>
  </si>
  <si>
    <t>Ayer</t>
  </si>
  <si>
    <t>Barre</t>
  </si>
  <si>
    <t>Becket</t>
  </si>
  <si>
    <t>Belchertown</t>
  </si>
  <si>
    <t>Bellingham</t>
  </si>
  <si>
    <t>Berlin</t>
  </si>
  <si>
    <t>Bernardston</t>
  </si>
  <si>
    <t>Blackstone</t>
  </si>
  <si>
    <t>Blandford</t>
  </si>
  <si>
    <t>Bolton</t>
  </si>
  <si>
    <t>Boylston</t>
  </si>
  <si>
    <t>Brimfield</t>
  </si>
  <si>
    <t>Brookfield</t>
  </si>
  <si>
    <t>Buckland</t>
  </si>
  <si>
    <t>Charlemont</t>
  </si>
  <si>
    <t>Charlton</t>
  </si>
  <si>
    <t>Cheshire</t>
  </si>
  <si>
    <t>Chester</t>
  </si>
  <si>
    <t>Chesterfield</t>
  </si>
  <si>
    <t>Chicopee</t>
  </si>
  <si>
    <t>Clarksburg</t>
  </si>
  <si>
    <t>Clinton</t>
  </si>
  <si>
    <t>Colrain</t>
  </si>
  <si>
    <t>Conway</t>
  </si>
  <si>
    <t>Cummington</t>
  </si>
  <si>
    <t>Dalton</t>
  </si>
  <si>
    <t>Deerfield</t>
  </si>
  <si>
    <t>Douglas</t>
  </si>
  <si>
    <t>Dudley</t>
  </si>
  <si>
    <t>East Brookfield</t>
  </si>
  <si>
    <t>East Longmeadow</t>
  </si>
  <si>
    <t>Easthampton</t>
  </si>
  <si>
    <t>Egremont</t>
  </si>
  <si>
    <t>Erving</t>
  </si>
  <si>
    <t>Fitchburg</t>
  </si>
  <si>
    <t>Florida</t>
  </si>
  <si>
    <t>Franklin</t>
  </si>
  <si>
    <t>Gardner</t>
  </si>
  <si>
    <t>Gill</t>
  </si>
  <si>
    <t>Goshen</t>
  </si>
  <si>
    <t>Grafton</t>
  </si>
  <si>
    <t>Granby</t>
  </si>
  <si>
    <t>Granville</t>
  </si>
  <si>
    <t>Great Barrington</t>
  </si>
  <si>
    <t>Greenfield</t>
  </si>
  <si>
    <t>Groton</t>
  </si>
  <si>
    <t>Hadley</t>
  </si>
  <si>
    <t>Hampden</t>
  </si>
  <si>
    <t>Hancock</t>
  </si>
  <si>
    <t>Hardwick</t>
  </si>
  <si>
    <t>Harvard</t>
  </si>
  <si>
    <t>Hatfield</t>
  </si>
  <si>
    <t>Hawley</t>
  </si>
  <si>
    <t>Heath</t>
  </si>
  <si>
    <t>Hinsdale</t>
  </si>
  <si>
    <t>Holden</t>
  </si>
  <si>
    <t>Holland</t>
  </si>
  <si>
    <t>Holyoke</t>
  </si>
  <si>
    <t>Hopedale</t>
  </si>
  <si>
    <t>Hubbardston</t>
  </si>
  <si>
    <t>Huntington</t>
  </si>
  <si>
    <t>Lancaster</t>
  </si>
  <si>
    <t>Lanesborough</t>
  </si>
  <si>
    <t>Lee</t>
  </si>
  <si>
    <t>Leicester</t>
  </si>
  <si>
    <t>Lenox</t>
  </si>
  <si>
    <t>Leominster</t>
  </si>
  <si>
    <t>Leverett</t>
  </si>
  <si>
    <t>Leyden</t>
  </si>
  <si>
    <t>Longmeadow</t>
  </si>
  <si>
    <t>Ludlow</t>
  </si>
  <si>
    <t>Lunenburg</t>
  </si>
  <si>
    <t>Medway</t>
  </si>
  <si>
    <t>Mendon</t>
  </si>
  <si>
    <t>Middlefield</t>
  </si>
  <si>
    <t>Milford</t>
  </si>
  <si>
    <t>Millbury</t>
  </si>
  <si>
    <t>Millville</t>
  </si>
  <si>
    <t>Monroe</t>
  </si>
  <si>
    <t>Monson</t>
  </si>
  <si>
    <t>Montague</t>
  </si>
  <si>
    <t>Monterey</t>
  </si>
  <si>
    <t>Montgomery</t>
  </si>
  <si>
    <t>Mt. Washington</t>
  </si>
  <si>
    <t>New Ashford</t>
  </si>
  <si>
    <t>New Braintree</t>
  </si>
  <si>
    <t>New Marlborough</t>
  </si>
  <si>
    <t>New Salem</t>
  </si>
  <si>
    <t>North Adams</t>
  </si>
  <si>
    <t>North Brookfield</t>
  </si>
  <si>
    <t>Northampton</t>
  </si>
  <si>
    <t>Northbridge</t>
  </si>
  <si>
    <t>Northfield</t>
  </si>
  <si>
    <t>Oakham</t>
  </si>
  <si>
    <t>Orange</t>
  </si>
  <si>
    <t>Otis</t>
  </si>
  <si>
    <t>Oxford</t>
  </si>
  <si>
    <t>Palmer</t>
  </si>
  <si>
    <t>Paxton</t>
  </si>
  <si>
    <t>Pelham</t>
  </si>
  <si>
    <t>Pepperell</t>
  </si>
  <si>
    <t>Peru</t>
  </si>
  <si>
    <t>Petersham</t>
  </si>
  <si>
    <t>Phillipston</t>
  </si>
  <si>
    <t>Pittsfield</t>
  </si>
  <si>
    <t>Plainfield</t>
  </si>
  <si>
    <t>Princeton</t>
  </si>
  <si>
    <t>Richmond</t>
  </si>
  <si>
    <t>Rowe</t>
  </si>
  <si>
    <t>Royalston</t>
  </si>
  <si>
    <t>Russell</t>
  </si>
  <si>
    <t>Rutland</t>
  </si>
  <si>
    <t>Sandisfield</t>
  </si>
  <si>
    <t>Savoy</t>
  </si>
  <si>
    <t>Sheffield</t>
  </si>
  <si>
    <t>Shelburne</t>
  </si>
  <si>
    <t>Shirley</t>
  </si>
  <si>
    <t>Shrewsbury</t>
  </si>
  <si>
    <t>Shutesbury</t>
  </si>
  <si>
    <t>South Hadley</t>
  </si>
  <si>
    <t>Southampton</t>
  </si>
  <si>
    <t>Southbridge</t>
  </si>
  <si>
    <t>Southwick</t>
  </si>
  <si>
    <t>Spencer</t>
  </si>
  <si>
    <t>Springfield</t>
  </si>
  <si>
    <t>Sterling</t>
  </si>
  <si>
    <t>Stockbridge</t>
  </si>
  <si>
    <t>Sturbridge</t>
  </si>
  <si>
    <t>Sunderland</t>
  </si>
  <si>
    <t>Sutton</t>
  </si>
  <si>
    <t>Templeton</t>
  </si>
  <si>
    <t>Tolland</t>
  </si>
  <si>
    <t>Townsend</t>
  </si>
  <si>
    <t>Tyringham</t>
  </si>
  <si>
    <t>Upton</t>
  </si>
  <si>
    <t>Uxbridge</t>
  </si>
  <si>
    <t>Wales</t>
  </si>
  <si>
    <t>Ware</t>
  </si>
  <si>
    <t>Warren</t>
  </si>
  <si>
    <t>Warwick</t>
  </si>
  <si>
    <t>Washington</t>
  </si>
  <si>
    <t>Webster</t>
  </si>
  <si>
    <t>Wendell</t>
  </si>
  <si>
    <t>West Boylston</t>
  </si>
  <si>
    <t>West Brookfield</t>
  </si>
  <si>
    <t>West Springfield</t>
  </si>
  <si>
    <t>West Stockbridge</t>
  </si>
  <si>
    <t>Westfield</t>
  </si>
  <si>
    <t>Westhampton</t>
  </si>
  <si>
    <t>Westminster</t>
  </si>
  <si>
    <t>Whately</t>
  </si>
  <si>
    <t>Wilbraham</t>
  </si>
  <si>
    <t>Williamsburg</t>
  </si>
  <si>
    <t>Williamstown</t>
  </si>
  <si>
    <t>Winchendon</t>
  </si>
  <si>
    <t>Windsor</t>
  </si>
  <si>
    <t>Worcester</t>
  </si>
  <si>
    <t>Worthington</t>
  </si>
  <si>
    <t>State:</t>
  </si>
  <si>
    <t>MA</t>
  </si>
  <si>
    <t>NH</t>
  </si>
  <si>
    <t>State</t>
  </si>
  <si>
    <t>AL</t>
  </si>
  <si>
    <t>AK</t>
  </si>
  <si>
    <t>AZ</t>
  </si>
  <si>
    <t>AR</t>
  </si>
  <si>
    <t>CA</t>
  </si>
  <si>
    <t>CO</t>
  </si>
  <si>
    <t>CT</t>
  </si>
  <si>
    <t>DE</t>
  </si>
  <si>
    <t>DC</t>
  </si>
  <si>
    <t>FL</t>
  </si>
  <si>
    <t>GA</t>
  </si>
  <si>
    <t>HI</t>
  </si>
  <si>
    <t>ID</t>
  </si>
  <si>
    <t>IL</t>
  </si>
  <si>
    <t>IN</t>
  </si>
  <si>
    <t>IA</t>
  </si>
  <si>
    <t>KS</t>
  </si>
  <si>
    <t>KY</t>
  </si>
  <si>
    <t>LA</t>
  </si>
  <si>
    <t>ME</t>
  </si>
  <si>
    <t>MD</t>
  </si>
  <si>
    <t>MS</t>
  </si>
  <si>
    <t>MI</t>
  </si>
  <si>
    <t>MN</t>
  </si>
  <si>
    <t>MO</t>
  </si>
  <si>
    <t>MT</t>
  </si>
  <si>
    <t>NE</t>
  </si>
  <si>
    <t>NV</t>
  </si>
  <si>
    <t>NJ</t>
  </si>
  <si>
    <t>NM</t>
  </si>
  <si>
    <t>NY</t>
  </si>
  <si>
    <t>NC</t>
  </si>
  <si>
    <t>ND</t>
  </si>
  <si>
    <t>OH</t>
  </si>
  <si>
    <t>OK</t>
  </si>
  <si>
    <t>OR</t>
  </si>
  <si>
    <t>PA</t>
  </si>
  <si>
    <t>RI</t>
  </si>
  <si>
    <t>SC</t>
  </si>
  <si>
    <t>SD</t>
  </si>
  <si>
    <t>TN</t>
  </si>
  <si>
    <t>TX</t>
  </si>
  <si>
    <t>UT</t>
  </si>
  <si>
    <t>VT</t>
  </si>
  <si>
    <t>VA</t>
  </si>
  <si>
    <t>WA</t>
  </si>
  <si>
    <t>WV</t>
  </si>
  <si>
    <t>WI</t>
  </si>
  <si>
    <t>WY</t>
  </si>
  <si>
    <t>AS</t>
  </si>
  <si>
    <t>GU</t>
  </si>
  <si>
    <t>MP</t>
  </si>
  <si>
    <t>PR</t>
  </si>
  <si>
    <t>VI</t>
  </si>
  <si>
    <t>Region:</t>
  </si>
  <si>
    <t>add instructions  Who the hell said so?  Give us proof.</t>
  </si>
  <si>
    <t>Berkshire</t>
  </si>
  <si>
    <t>Franklin/Hampshire</t>
  </si>
  <si>
    <t>Holyoke/Chicopee</t>
  </si>
  <si>
    <t>North Central</t>
  </si>
  <si>
    <t>South Valley</t>
  </si>
  <si>
    <t>Springfield/Westfield</t>
  </si>
  <si>
    <t>Ch. River West</t>
  </si>
  <si>
    <t>Greater Boston</t>
  </si>
  <si>
    <t>Middlesex West</t>
  </si>
  <si>
    <t>Newton/South Norfolk</t>
  </si>
  <si>
    <t>Central Middlesex</t>
  </si>
  <si>
    <t>Metro North</t>
  </si>
  <si>
    <t>Merrimack Valley</t>
  </si>
  <si>
    <t>North Shore</t>
  </si>
  <si>
    <t>ABI MFP Res Metro</t>
  </si>
  <si>
    <t>Cape Cod &amp; Islands</t>
  </si>
  <si>
    <t>South Coastal</t>
  </si>
  <si>
    <t>Taunton/Attleboro</t>
  </si>
  <si>
    <t>Other</t>
  </si>
  <si>
    <t>Select only one acquisition type and one construction type</t>
  </si>
  <si>
    <t>Property &amp; Casualty Insurance</t>
  </si>
  <si>
    <t>Commonwealth Agency Central Office Rep:</t>
  </si>
  <si>
    <t>MCB</t>
  </si>
  <si>
    <t>MRC</t>
  </si>
  <si>
    <t>Central Office</t>
  </si>
  <si>
    <t>ABI MFP Res Cntrl West</t>
  </si>
  <si>
    <t>ABI MFP Res NE</t>
  </si>
  <si>
    <t>ABI MFP Res SE</t>
  </si>
  <si>
    <t>101 CMR 420: Rates for Adult Long Term Residential Services</t>
  </si>
  <si>
    <t>New Site Occupancy Application Instructions</t>
  </si>
  <si>
    <t>General Information</t>
  </si>
  <si>
    <t xml:space="preserve">Break: </t>
  </si>
  <si>
    <t>NSO_Version</t>
  </si>
  <si>
    <t>Area_Contact</t>
  </si>
  <si>
    <t>Area_Title</t>
  </si>
  <si>
    <t>Area_Office</t>
  </si>
  <si>
    <t>ProviderName</t>
  </si>
  <si>
    <t>Engagement</t>
  </si>
  <si>
    <t>DDS Code</t>
  </si>
  <si>
    <t>TotalCapacity</t>
  </si>
  <si>
    <t>ALTRCapacity</t>
  </si>
  <si>
    <t>Acquisition_Type</t>
  </si>
  <si>
    <t xml:space="preserve">Related_Party </t>
  </si>
  <si>
    <t>Ready_To_Move</t>
  </si>
  <si>
    <t>Purch_Date</t>
  </si>
  <si>
    <t>AnnInterestExisting</t>
  </si>
  <si>
    <t>Land_Cost</t>
  </si>
  <si>
    <t>Land_Fin</t>
  </si>
  <si>
    <t>Conts_Cost</t>
  </si>
  <si>
    <t>Conts_Financed</t>
  </si>
  <si>
    <t>Comp_Date</t>
  </si>
  <si>
    <t>Intr_Rate_New</t>
  </si>
  <si>
    <t>Loan_yrs_New</t>
  </si>
  <si>
    <t>AnnInterestConstr</t>
  </si>
  <si>
    <t>LeaseAmount</t>
  </si>
  <si>
    <t>AnnLeaseAmt</t>
  </si>
  <si>
    <t>EOHHS_AppDate</t>
  </si>
  <si>
    <t>CEDACAPPLIED</t>
  </si>
  <si>
    <t>B_TotalCost</t>
  </si>
  <si>
    <t>C_TotalCost</t>
  </si>
  <si>
    <t>D_TotalCost</t>
  </si>
  <si>
    <t>E_TotalCost</t>
  </si>
  <si>
    <t>F_TotalCost</t>
  </si>
  <si>
    <t>G_TotalCost</t>
  </si>
  <si>
    <t>H_TotalCost</t>
  </si>
  <si>
    <t>Street</t>
  </si>
  <si>
    <t>City</t>
  </si>
  <si>
    <t>ZIP</t>
  </si>
  <si>
    <t>Site_ Type</t>
  </si>
  <si>
    <t>Construction</t>
  </si>
  <si>
    <t>ExistHouse_Purch_Price</t>
  </si>
  <si>
    <t>ExistHouse_Amnt_Financed</t>
  </si>
  <si>
    <t>ExistHouse_Int_Rate_Exist</t>
  </si>
  <si>
    <t>ExistHouse_Loan_yrs</t>
  </si>
  <si>
    <t>ExistHouse_PILT</t>
  </si>
  <si>
    <t>ABI  Cap</t>
  </si>
  <si>
    <t>If capexemption = true, change label and change conditinoal crossout</t>
  </si>
  <si>
    <t>If capexemption = true, this row is blank</t>
  </si>
  <si>
    <t>Fix warnings</t>
  </si>
  <si>
    <t>agency rules only</t>
  </si>
  <si>
    <t>Rate Assignment for ALTR New Site Occupancy</t>
  </si>
  <si>
    <t>Toni Gustus</t>
  </si>
  <si>
    <t>Agency Approval</t>
  </si>
  <si>
    <t>IF(CapException, "( n / a )     ", IF(AND(RegionalCap &gt; 0,  RegionalCap &lt; PerPersonBeforeOfffsets), "Max Monthly Rate for Region or ABI:", ""))</t>
  </si>
  <si>
    <t>State Agency Use Only</t>
  </si>
  <si>
    <t>ABI Cap + 1</t>
  </si>
  <si>
    <t>ABI</t>
  </si>
  <si>
    <t>CapitalLease</t>
  </si>
  <si>
    <t>FY19</t>
  </si>
  <si>
    <t>CEDAC</t>
  </si>
  <si>
    <t>ABI Cap</t>
  </si>
  <si>
    <t>none</t>
  </si>
  <si>
    <t>Reg cap + 1</t>
  </si>
  <si>
    <t>Reg cap</t>
  </si>
  <si>
    <t>Rate &amp; Cap Code</t>
  </si>
  <si>
    <t>`</t>
  </si>
  <si>
    <t>Rate Cap Logic Table</t>
  </si>
  <si>
    <t>Provider:</t>
  </si>
  <si>
    <t>ALTR - Funded Capacity:</t>
  </si>
  <si>
    <t>Anthony Piccolo</t>
  </si>
  <si>
    <t>Director of Contracts, DDS</t>
  </si>
  <si>
    <t>Cap Descr</t>
  </si>
  <si>
    <t>Current Cap Code</t>
  </si>
  <si>
    <t>Reference Code Clearview</t>
  </si>
  <si>
    <t>CEDACDate</t>
  </si>
  <si>
    <t>Assess_LandVal</t>
  </si>
  <si>
    <t>CostBasisDeprecExisting</t>
  </si>
  <si>
    <t>CostBasisDeprecNew</t>
  </si>
  <si>
    <t>A_DeprecBldg_CompDate</t>
  </si>
  <si>
    <t>A_DeprecBldg_TotalCost</t>
  </si>
  <si>
    <t>A_DeprecBldg_SrvLife</t>
  </si>
  <si>
    <t>A_DeprecBldg_AnnDeprec</t>
  </si>
  <si>
    <t>B_Descr</t>
  </si>
  <si>
    <t>B_CompDate</t>
  </si>
  <si>
    <t>A_CostBasisDeprec</t>
  </si>
  <si>
    <t>B_CostBasisDeprec</t>
  </si>
  <si>
    <t>B_SrvLife</t>
  </si>
  <si>
    <t>B_AnnDeprec</t>
  </si>
  <si>
    <t>C_Descr</t>
  </si>
  <si>
    <t>C_CompDate</t>
  </si>
  <si>
    <t>C_CostBasisDeprec</t>
  </si>
  <si>
    <t>C_SrvLife</t>
  </si>
  <si>
    <t>C_AnnDeprec</t>
  </si>
  <si>
    <t>D_Descr</t>
  </si>
  <si>
    <t>D_CompDate</t>
  </si>
  <si>
    <t>D_CostBasisDeprec</t>
  </si>
  <si>
    <t>D_SrvLife</t>
  </si>
  <si>
    <t>D_AnnDeprec</t>
  </si>
  <si>
    <t>E_Descr</t>
  </si>
  <si>
    <t>E_CompDate</t>
  </si>
  <si>
    <t>E_CostBasisDeprec</t>
  </si>
  <si>
    <t>E_SrvLife</t>
  </si>
  <si>
    <t>E_AnnDeprec</t>
  </si>
  <si>
    <t>F_Descr</t>
  </si>
  <si>
    <t>F_CompDate</t>
  </si>
  <si>
    <t>F_CostBasisDeprec</t>
  </si>
  <si>
    <t>F_SrvLife</t>
  </si>
  <si>
    <t>F_AnnDeprec</t>
  </si>
  <si>
    <t>G_Descr</t>
  </si>
  <si>
    <t>G_CompDate</t>
  </si>
  <si>
    <t>G_CostBasisDeprec</t>
  </si>
  <si>
    <t>G_SrvLife</t>
  </si>
  <si>
    <t>G_AnnDeprec</t>
  </si>
  <si>
    <t>H_Descr</t>
  </si>
  <si>
    <t>H_CompDate</t>
  </si>
  <si>
    <t>H_CostBasisDeprec</t>
  </si>
  <si>
    <t>H_SrvLife</t>
  </si>
  <si>
    <t>H_AnnDeprec</t>
  </si>
  <si>
    <t>Total_Deprec</t>
  </si>
  <si>
    <t>Total Monthly Billing at stated ALTR - Funded Capacity:</t>
  </si>
  <si>
    <t>Name:</t>
  </si>
  <si>
    <t>Signature:</t>
  </si>
  <si>
    <t>Exp_MorgInt_PILT_Rent</t>
  </si>
  <si>
    <t>Exp_Sum_TotalDepri</t>
  </si>
  <si>
    <t>Exp_Util_Cost</t>
  </si>
  <si>
    <t>Exp_Util_Life</t>
  </si>
  <si>
    <t>Exp_Util_AnnDeprec</t>
  </si>
  <si>
    <t>Exp_Maint_Cost</t>
  </si>
  <si>
    <t>Exp_Maint_Life</t>
  </si>
  <si>
    <t>Exp_Maint_AnnDeprec</t>
  </si>
  <si>
    <t>Exp_Ins_Cost</t>
  </si>
  <si>
    <t>Exp_Ins_Life</t>
  </si>
  <si>
    <t>Exp_Ins_AnnDeprec</t>
  </si>
  <si>
    <t>Exp_Household_Cost</t>
  </si>
  <si>
    <t>Exp_Household_Life</t>
  </si>
  <si>
    <t>Exp_Household_AnnDeprec</t>
  </si>
  <si>
    <t>Exp_Food_Cost</t>
  </si>
  <si>
    <t>Exp_Food_Life</t>
  </si>
  <si>
    <t>Exp_Food_AnnDeprec</t>
  </si>
  <si>
    <t>Exp_Total</t>
  </si>
  <si>
    <t>Exp_TotalReduct</t>
  </si>
  <si>
    <t>Exp_ProjAnn</t>
  </si>
  <si>
    <t>Rate_MonthlyPerCons</t>
  </si>
  <si>
    <t>Rate_Cap_MonthlyPerCons</t>
  </si>
  <si>
    <t>ExceptionOverride</t>
  </si>
  <si>
    <t>ProvTitle</t>
  </si>
  <si>
    <t>ProvSig</t>
  </si>
  <si>
    <t>ProvSigDate</t>
  </si>
  <si>
    <t>SASig</t>
  </si>
  <si>
    <t>SATitle</t>
  </si>
  <si>
    <t>SASigDate</t>
  </si>
  <si>
    <t>Offsets</t>
  </si>
  <si>
    <t>ProjStartDt</t>
  </si>
  <si>
    <t>Months1stFY</t>
  </si>
  <si>
    <t>AgencyApprovalDt</t>
  </si>
  <si>
    <t>CurrDate</t>
  </si>
  <si>
    <t>Est. Expenses</t>
  </si>
  <si>
    <t>Systems and Business Analyst, DDS</t>
  </si>
  <si>
    <t>Total Depreciation:</t>
  </si>
  <si>
    <t>Move-in information</t>
  </si>
  <si>
    <t xml:space="preserve">Text for Rate Cap </t>
  </si>
  <si>
    <t xml:space="preserve"> </t>
  </si>
  <si>
    <t>Cap Value</t>
  </si>
  <si>
    <t>Rate Cap Value:</t>
  </si>
  <si>
    <t>Rate Cap Text</t>
  </si>
  <si>
    <t>ABI Rate Cap applied:</t>
  </si>
  <si>
    <t>Regional Cap applied:</t>
  </si>
  <si>
    <t>Regional Cap + Capital Lease adj:</t>
  </si>
  <si>
    <t>ABI Cap + Capital Lease adj:</t>
  </si>
  <si>
    <t>States &amp; Territories</t>
  </si>
  <si>
    <t>DDS Area  Office / State Agency:</t>
  </si>
  <si>
    <t>ABI Rate Caps</t>
  </si>
  <si>
    <r>
      <t>Max Rate</t>
    </r>
    <r>
      <rPr>
        <b/>
        <sz val="9"/>
        <color rgb="FF0070C0"/>
        <rFont val="Calibri"/>
        <family val="2"/>
        <scheme val="minor"/>
      </rPr>
      <t xml:space="preserve"> per Person / Month</t>
    </r>
  </si>
  <si>
    <r>
      <t>Max Rate + 1 level</t>
    </r>
    <r>
      <rPr>
        <b/>
        <sz val="9"/>
        <color rgb="FF0070C0"/>
        <rFont val="Calibri"/>
        <family val="2"/>
        <scheme val="minor"/>
      </rPr>
      <t xml:space="preserve"> per person/Month</t>
    </r>
  </si>
  <si>
    <t>AgencyNotes</t>
  </si>
  <si>
    <t xml:space="preserve">List the full name of the Area representative, their title, and office name.   List the full legal name of the Provider Organization. List the full 20-character document ID for the occupancy Engagement #. Check the box for the lead Commonwealth Agency that will finance a majority of the site's individuals.  </t>
  </si>
  <si>
    <t>Check ONLY ONE box to identify how the site was acquired by the provider - Purchase, Lease, or Capital Lease.  Depending on which acquisition type is selected, red highlights will point to other cells requiring data.  If the transaction is a Lease, indicate whether the lessor is a Related Party according to 808 CMR 1.00 (see CMR Reference tab for Related Party detail).</t>
  </si>
  <si>
    <t>Version Notes</t>
  </si>
  <si>
    <t>Fixed J55 to include only expense totals</t>
  </si>
  <si>
    <t>Total Estimated Expenses</t>
  </si>
  <si>
    <t>Changed title proj ann occup exp</t>
  </si>
  <si>
    <t>Projected Annual Occupancy Expense for Site:</t>
  </si>
  <si>
    <t>re-hide columns i-l</t>
  </si>
  <si>
    <t>backup prop cap with named cells</t>
  </si>
  <si>
    <t>Property &amp; Casualty Cap Logic Table</t>
  </si>
  <si>
    <t>Lease</t>
  </si>
  <si>
    <t>Purchase or Capital Lease</t>
  </si>
  <si>
    <t>PropCapInsCode</t>
  </si>
  <si>
    <t>is $600 noncap expenses 2-3 or 1-3</t>
  </si>
  <si>
    <t>Insurance Cap Amount</t>
  </si>
  <si>
    <r>
      <rPr>
        <b/>
        <sz val="12"/>
        <color theme="1"/>
        <rFont val="Calibri"/>
        <family val="2"/>
        <scheme val="minor"/>
      </rPr>
      <t>All applications and supporting documents must be submitted to the Area/Regional office.</t>
    </r>
    <r>
      <rPr>
        <sz val="12"/>
        <color theme="1"/>
        <rFont val="Calibri"/>
        <family val="2"/>
        <scheme val="minor"/>
      </rPr>
      <t xml:space="preserve"> Area/Regional offices will then submit them to the Central Agency Office. </t>
    </r>
  </si>
  <si>
    <r>
      <rPr>
        <b/>
        <sz val="12"/>
        <color theme="1"/>
        <rFont val="Calibri"/>
        <family val="2"/>
        <scheme val="minor"/>
      </rPr>
      <t xml:space="preserve">Appeals: </t>
    </r>
    <r>
      <rPr>
        <sz val="12"/>
        <color theme="1"/>
        <rFont val="Calibri"/>
        <family val="2"/>
        <scheme val="minor"/>
      </rPr>
      <t xml:space="preserve"> Appeals, supported by documentation, may be filed with the appropriate Commonwealth Agency </t>
    </r>
    <r>
      <rPr>
        <b/>
        <sz val="12"/>
        <color theme="1"/>
        <rFont val="Calibri"/>
        <family val="2"/>
        <scheme val="minor"/>
      </rPr>
      <t>within 30 calendar days</t>
    </r>
    <r>
      <rPr>
        <sz val="12"/>
        <color theme="1"/>
        <rFont val="Calibri"/>
        <family val="2"/>
        <scheme val="minor"/>
      </rPr>
      <t xml:space="preserve"> of rate assignment.  Appeals must be in writing.</t>
    </r>
  </si>
  <si>
    <t xml:space="preserve">Total Capacity is the number of individuals, not staff, who can live at the site.  A written explanation will be needed when the number of bedrooms at a site exceeds the site's Total Capacity. ALTR Funded Capacity is the number of individuals to be funded under the Engagement ID noted in Section 1.  ALTR Funded Capacity may be less than or equal to the Total Capacity, but cannot exceed Total Capacity. </t>
  </si>
  <si>
    <t xml:space="preserve">Rules for depreciation of Capital Assets are set forth in 808 CMR 1.00.  A copy of the depreciation schedule is located in the “OSD Service Life of Assets” tab.  Capital Assets, including but not limited to furniture, equipment, etc, should be obtained through a Capital/Start-Up Contract and should not be part of the occupancy application or occupancy rate. Likewise, any vehicle related expenses are part of the operational rate. They are not part of the occupancy application, occupancy rate, or start-up budget. Only assets purchased by the service provider with its own funding may be depreciated on this application. Capital purchases made through a Commonwealth-Funded budget may not be depreciated on this application and are not part of the occupancy rate.                                                                                                                                                                                                                                            i.          For purchases of existing houses, input the Assessed Land Value as listed on the city Assessor's Online Database into the box above the Depreciation chart.                                                                                                                                                                                                                                                                                                                                                  ii.         Lines B - H:  List renovations or Life Safety improvements.  Consult the OSD Service Life of Assets tab to determine the correct Useful Service Life for each entry. Only life safety improvements required in writing by an agency of the Commonwealth may be depreciated on leased sites. </t>
  </si>
  <si>
    <t xml:space="preserve">Enter estimated costs for the five categories of expenses.  The estimates should be based on the entire site at Total Capacity. Pop-up boxes explaining occupancy cost caps will appear when the corresponding expense cell is clicked.  Pop-up boxes may be moved to the side by clicking and dragging.  Estimated amounts entered in excess of these caps will automatically be reduced.  </t>
  </si>
  <si>
    <t>old Upper Limit for VLookup</t>
  </si>
  <si>
    <t>Current Ch. 257 Rate</t>
  </si>
  <si>
    <t>Lower Limit of Rate Range</t>
  </si>
  <si>
    <r>
      <t xml:space="preserve">Information Only: Monthly Rate                </t>
    </r>
    <r>
      <rPr>
        <b/>
        <sz val="8"/>
        <color rgb="FF0070C0"/>
        <rFont val="Calibri"/>
        <family val="2"/>
        <scheme val="minor"/>
      </rPr>
      <t>(day rate * 365 / 12)</t>
    </r>
  </si>
  <si>
    <t>Metro</t>
  </si>
  <si>
    <t>Term of Loan (yrs):</t>
  </si>
  <si>
    <t>Current Interest Rate:</t>
  </si>
  <si>
    <t>Current Interest Rate</t>
  </si>
  <si>
    <t>Annual Interest:</t>
  </si>
  <si>
    <r>
      <t>Annual Interest</t>
    </r>
    <r>
      <rPr>
        <b/>
        <sz val="10"/>
        <color rgb="FF000000"/>
        <rFont val="Calibri"/>
        <family val="2"/>
      </rPr>
      <t>:</t>
    </r>
  </si>
  <si>
    <r>
      <t xml:space="preserve">List the full address (street number and name, unit number if applicable, city/town, and zip code).  If the site is in Massachusetts, you must enter one of the 351 official cities and towns in the Commonwealth, listed in the Geographic Lookups tab. This is necessary so that the worksheet can calculate the maximum rate allowed for the region, as defined in the regulation.  Select the type of site from the drop down. Note that a "unit" is a whole unit of housing, not a bedroom. For example, the "single unit building" choice would be selected for a single family house.  Mark </t>
    </r>
    <r>
      <rPr>
        <u/>
        <sz val="12"/>
        <rFont val="Calibri"/>
        <family val="2"/>
        <scheme val="minor"/>
      </rPr>
      <t>one</t>
    </r>
    <r>
      <rPr>
        <sz val="12"/>
        <rFont val="Calibri"/>
        <family val="2"/>
        <scheme val="minor"/>
      </rPr>
      <t xml:space="preserve"> check box signifying whether this application is for:  A DDS ID activity code 3153 site;  A DDS ABI site;  3) An MCB site;  4) an MRC site.</t>
    </r>
  </si>
  <si>
    <t>Contract Type Checkbox Is OK</t>
  </si>
  <si>
    <t>Purchase</t>
  </si>
  <si>
    <t>Is Lease OR Capital Lease</t>
  </si>
  <si>
    <t>Acquisition Detail for Purchased Units:</t>
  </si>
  <si>
    <t>DDSREse</t>
  </si>
  <si>
    <t>DDSABI</t>
  </si>
  <si>
    <t>MCBRes</t>
  </si>
  <si>
    <t>MRCRes</t>
  </si>
  <si>
    <t>"SiteApprovalGTEQFY19"</t>
  </si>
  <si>
    <t>A_Descr</t>
  </si>
  <si>
    <t>Rate_Cap_Text</t>
  </si>
  <si>
    <t>CapIsApplied</t>
  </si>
  <si>
    <t>ALTR_Rate_Monthly_PerFundedCap</t>
  </si>
  <si>
    <t>ALTR_MonthlyRateDescr</t>
  </si>
  <si>
    <t>Enter requested data into cells highlighted by red notations. Documentation to support and verify claimed expenses must be submitted along with the Application. Documents should be in  Word, Excel, or PDF format. If the acquisition is not yet complete, and final documentation is not available, include statement(s) from the lending institution, landlord (related party), and/or contractor, explaining and documenting any pending items.  Enter date EOHHS siting approval was granted, if known, and  include a copy of the approval.  Otherwise Central Office Contracts will obtain the date and document from the Area Office.  Check FCF/CEDAC box if funding has been, or intends to be, applied for.</t>
  </si>
  <si>
    <t>Version 2019_12_01</t>
  </si>
  <si>
    <r>
      <rPr>
        <b/>
        <sz val="16"/>
        <color theme="1"/>
        <rFont val="Calibri"/>
        <family val="2"/>
        <scheme val="minor"/>
      </rPr>
      <t>New Site Occupancy Application</t>
    </r>
    <r>
      <rPr>
        <b/>
        <sz val="12"/>
        <color theme="1"/>
        <rFont val="Calibri"/>
        <family val="2"/>
        <scheme val="minor"/>
      </rPr>
      <t xml:space="preserve">
</t>
    </r>
    <r>
      <rPr>
        <b/>
        <sz val="10"/>
        <color theme="1"/>
        <rFont val="Calibri"/>
        <family val="2"/>
        <scheme val="minor"/>
      </rPr>
      <t>101 CMR 420  (Final Adoption 4/20/2018)</t>
    </r>
    <r>
      <rPr>
        <b/>
        <sz val="12"/>
        <color theme="1"/>
        <rFont val="Calibri"/>
        <family val="2"/>
        <scheme val="minor"/>
      </rPr>
      <t xml:space="preserve">
</t>
    </r>
  </si>
  <si>
    <t>TBD</t>
  </si>
  <si>
    <t>BeginCaps</t>
  </si>
  <si>
    <t>"=CapException"</t>
  </si>
  <si>
    <t>Cap Exemption</t>
  </si>
  <si>
    <t>Cap Exception Test 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</si>
</sst>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0.0"/>
    <numFmt numFmtId="166" formatCode="&quot;$&quot;#,##0.00"/>
    <numFmt numFmtId="167" formatCode="0.0000"/>
    <numFmt numFmtId="168" formatCode="mm/dd/yy;@"/>
    <numFmt numFmtId="169" formatCode="0.000%"/>
    <numFmt numFmtId="170" formatCode="[$-409]d\-mmm\-yy;@"/>
    <numFmt numFmtId="171" formatCode="0.0000%"/>
    <numFmt numFmtId="172" formatCode="0.000"/>
  </numFmts>
  <fonts count="84" x14ac:knownFonts="1">
    <font>
      <sz val="11"/>
      <color theme="1"/>
      <name val="Calibri"/>
      <family val="2"/>
      <scheme val="minor"/>
    </font>
    <font>
      <sz val="10"/>
      <name val="Arial"/>
      <family val="2"/>
    </font>
    <font>
      <b/>
      <sz val="10"/>
      <name val="Calibri"/>
      <family val="2"/>
    </font>
    <font>
      <u/>
      <sz val="9"/>
      <color indexed="8"/>
      <name val="Calibri"/>
      <family val="2"/>
    </font>
    <font>
      <sz val="9"/>
      <color indexed="8"/>
      <name val="Calibri"/>
      <family val="2"/>
    </font>
    <font>
      <b/>
      <sz val="11"/>
      <color theme="1"/>
      <name val="Calibri"/>
      <family val="2"/>
      <scheme val="minor"/>
    </font>
    <font>
      <b/>
      <sz val="10"/>
      <color rgb="FF000000"/>
      <name val="Calibri"/>
      <family val="2"/>
    </font>
    <font>
      <b/>
      <sz val="10"/>
      <color theme="1"/>
      <name val="Calibri"/>
      <family val="2"/>
      <scheme val="minor"/>
    </font>
    <font>
      <sz val="10"/>
      <color theme="1"/>
      <name val="Calibri"/>
      <family val="2"/>
      <scheme val="minor"/>
    </font>
    <font>
      <i/>
      <sz val="10"/>
      <color theme="1"/>
      <name val="Calibri"/>
      <family val="2"/>
      <scheme val="minor"/>
    </font>
    <font>
      <b/>
      <u/>
      <sz val="10"/>
      <color rgb="FF2D0DB3"/>
      <name val="Calibri"/>
      <family val="2"/>
      <scheme val="minor"/>
    </font>
    <font>
      <b/>
      <i/>
      <sz val="10"/>
      <color theme="1"/>
      <name val="Calibri"/>
      <family val="2"/>
      <scheme val="minor"/>
    </font>
    <font>
      <b/>
      <sz val="10"/>
      <name val="Calibri"/>
      <family val="2"/>
      <scheme val="minor"/>
    </font>
    <font>
      <sz val="9"/>
      <color theme="1"/>
      <name val="Calibri"/>
      <family val="2"/>
      <scheme val="minor"/>
    </font>
    <font>
      <sz val="10"/>
      <name val="Calibri"/>
      <family val="2"/>
      <scheme val="minor"/>
    </font>
    <font>
      <b/>
      <sz val="9"/>
      <color theme="1"/>
      <name val="Calibri"/>
      <family val="2"/>
      <scheme val="minor"/>
    </font>
    <font>
      <b/>
      <sz val="12"/>
      <color theme="1"/>
      <name val="Calibri"/>
      <family val="2"/>
      <scheme val="minor"/>
    </font>
    <font>
      <sz val="8"/>
      <color rgb="FF000000"/>
      <name val="Tahoma"/>
      <family val="2"/>
    </font>
    <font>
      <b/>
      <sz val="10"/>
      <color rgb="FFFF0000"/>
      <name val="Calibri"/>
      <family val="2"/>
      <scheme val="minor"/>
    </font>
    <font>
      <b/>
      <sz val="10"/>
      <color rgb="FFFF0000"/>
      <name val="Calibri"/>
      <family val="2"/>
    </font>
    <font>
      <b/>
      <sz val="14"/>
      <color rgb="FFFF0000"/>
      <name val="Calibri"/>
      <family val="2"/>
      <scheme val="minor"/>
    </font>
    <font>
      <b/>
      <sz val="14"/>
      <color theme="1"/>
      <name val="Calibri"/>
      <family val="2"/>
      <scheme val="minor"/>
    </font>
    <font>
      <b/>
      <sz val="14"/>
      <color rgb="FFFF0000"/>
      <name val="Calibri"/>
      <family val="2"/>
    </font>
    <font>
      <b/>
      <sz val="12"/>
      <color rgb="FFFF0000"/>
      <name val="Calibri"/>
      <family val="2"/>
    </font>
    <font>
      <b/>
      <sz val="11"/>
      <color rgb="FFFF0000"/>
      <name val="Calibri"/>
      <family val="2"/>
    </font>
    <font>
      <b/>
      <i/>
      <u/>
      <sz val="10"/>
      <color rgb="FF000000"/>
      <name val="Calibri"/>
      <family val="2"/>
    </font>
    <font>
      <sz val="11"/>
      <color theme="1"/>
      <name val="Calibri"/>
      <family val="2"/>
      <scheme val="minor"/>
    </font>
    <font>
      <sz val="10"/>
      <color theme="0"/>
      <name val="Calibri"/>
      <family val="2"/>
      <scheme val="minor"/>
    </font>
    <font>
      <sz val="10"/>
      <color theme="1"/>
      <name val="Courier New"/>
      <family val="3"/>
    </font>
    <font>
      <b/>
      <sz val="12"/>
      <name val="Calibri"/>
      <family val="2"/>
      <scheme val="minor"/>
    </font>
    <font>
      <b/>
      <sz val="12"/>
      <color theme="0"/>
      <name val="Calibri"/>
      <family val="2"/>
      <scheme val="minor"/>
    </font>
    <font>
      <sz val="14"/>
      <name val="Calibri"/>
      <family val="2"/>
      <scheme val="minor"/>
    </font>
    <font>
      <b/>
      <sz val="16"/>
      <color rgb="FFFF0000"/>
      <name val="Calibri"/>
      <family val="2"/>
      <scheme val="minor"/>
    </font>
    <font>
      <sz val="11"/>
      <color rgb="FF000000"/>
      <name val="Calibri"/>
      <family val="2"/>
    </font>
    <font>
      <b/>
      <sz val="10"/>
      <color theme="0"/>
      <name val="Calibri"/>
      <family val="2"/>
      <scheme val="minor"/>
    </font>
    <font>
      <b/>
      <sz val="14"/>
      <name val="Calibri"/>
      <family val="2"/>
      <scheme val="minor"/>
    </font>
    <font>
      <sz val="10"/>
      <color rgb="FFFF0000"/>
      <name val="Calibri"/>
      <family val="2"/>
      <scheme val="minor"/>
    </font>
    <font>
      <b/>
      <u/>
      <sz val="12"/>
      <color theme="1"/>
      <name val="Calibri"/>
      <family val="2"/>
      <scheme val="minor"/>
    </font>
    <font>
      <sz val="12"/>
      <color theme="1"/>
      <name val="Calibri"/>
      <family val="2"/>
      <scheme val="minor"/>
    </font>
    <font>
      <b/>
      <sz val="12"/>
      <color rgb="FFFF0000"/>
      <name val="Calibri"/>
      <family val="2"/>
      <scheme val="minor"/>
    </font>
    <font>
      <u/>
      <sz val="12"/>
      <color theme="1"/>
      <name val="Calibri"/>
      <family val="2"/>
      <scheme val="minor"/>
    </font>
    <font>
      <sz val="12"/>
      <name val="Calibri"/>
      <family val="2"/>
      <scheme val="minor"/>
    </font>
    <font>
      <sz val="8"/>
      <name val="Calibri"/>
      <family val="2"/>
      <scheme val="minor"/>
    </font>
    <font>
      <b/>
      <sz val="8"/>
      <name val="Calibri"/>
      <family val="2"/>
      <scheme val="minor"/>
    </font>
    <font>
      <b/>
      <sz val="11"/>
      <color rgb="FF0070C0"/>
      <name val="Calibri"/>
      <family val="2"/>
      <scheme val="minor"/>
    </font>
    <font>
      <strike/>
      <sz val="10"/>
      <color theme="1"/>
      <name val="Calibri"/>
      <family val="2"/>
      <scheme val="minor"/>
    </font>
    <font>
      <b/>
      <sz val="9"/>
      <color rgb="FF000000"/>
      <name val="Calibri"/>
      <family val="2"/>
    </font>
    <font>
      <b/>
      <strike/>
      <sz val="10"/>
      <color rgb="FFFF0000"/>
      <name val="Calibri"/>
      <family val="2"/>
    </font>
    <font>
      <sz val="11"/>
      <color rgb="FFFF0000"/>
      <name val="Calibri"/>
      <family val="2"/>
      <scheme val="minor"/>
    </font>
    <font>
      <sz val="1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9"/>
      <name val="Calibri"/>
      <family val="2"/>
      <scheme val="minor"/>
    </font>
    <font>
      <b/>
      <sz val="8"/>
      <color theme="7" tint="-0.249977111117893"/>
      <name val="Calibri"/>
      <family val="2"/>
      <scheme val="minor"/>
    </font>
    <font>
      <b/>
      <sz val="16"/>
      <color theme="1"/>
      <name val="Calibri"/>
      <family val="2"/>
      <scheme val="minor"/>
    </font>
    <font>
      <b/>
      <sz val="11"/>
      <color rgb="FF00B0F0"/>
      <name val="Calibri"/>
      <family val="2"/>
      <scheme val="minor"/>
    </font>
    <font>
      <b/>
      <sz val="9"/>
      <color rgb="FFFF0000"/>
      <name val="Calibri"/>
      <family val="2"/>
      <scheme val="minor"/>
    </font>
    <font>
      <b/>
      <sz val="8"/>
      <color rgb="FFFF0000"/>
      <name val="Calibri"/>
      <family val="2"/>
      <scheme val="minor"/>
    </font>
    <font>
      <sz val="10"/>
      <color rgb="FF000000"/>
      <name val="Calibri"/>
      <family val="2"/>
    </font>
    <font>
      <sz val="11"/>
      <color rgb="FF000000"/>
      <name val="Calibri"/>
      <family val="2"/>
      <scheme val="minor"/>
    </font>
    <font>
      <sz val="11"/>
      <color theme="0" tint="-0.499984740745262"/>
      <name val="Calibri"/>
      <family val="2"/>
      <scheme val="minor"/>
    </font>
    <font>
      <sz val="10"/>
      <color theme="0" tint="-0.499984740745262"/>
      <name val="Calibri"/>
      <family val="2"/>
      <scheme val="minor"/>
    </font>
    <font>
      <b/>
      <sz val="11"/>
      <color theme="0" tint="-0.14999847407452621"/>
      <name val="Calibri"/>
      <family val="2"/>
      <scheme val="minor"/>
    </font>
    <font>
      <b/>
      <sz val="8"/>
      <color theme="3"/>
      <name val="Calibri"/>
      <family val="2"/>
      <scheme val="minor"/>
    </font>
    <font>
      <b/>
      <sz val="9"/>
      <color rgb="FF0070C0"/>
      <name val="Calibri"/>
      <family val="2"/>
      <scheme val="minor"/>
    </font>
    <font>
      <sz val="8"/>
      <color theme="1"/>
      <name val="Calibri"/>
      <family val="2"/>
      <scheme val="minor"/>
    </font>
    <font>
      <sz val="12"/>
      <color rgb="FFFF0000"/>
      <name val="Calibri"/>
      <family val="2"/>
      <scheme val="minor"/>
    </font>
    <font>
      <b/>
      <sz val="8"/>
      <color rgb="FF0070C0"/>
      <name val="Calibri"/>
      <family val="2"/>
      <scheme val="minor"/>
    </font>
    <font>
      <b/>
      <sz val="9"/>
      <color rgb="FFFF0000"/>
      <name val="Calibri"/>
      <family val="2"/>
    </font>
    <font>
      <u/>
      <sz val="12"/>
      <name val="Calibri"/>
      <family val="2"/>
      <scheme val="minor"/>
    </font>
    <font>
      <sz val="8"/>
      <color theme="0" tint="-0.499984740745262"/>
      <name val="Calibri"/>
      <family val="2"/>
      <scheme val="minor"/>
    </font>
    <font>
      <b/>
      <sz val="11"/>
      <name val="Calibri"/>
      <family val="2"/>
      <scheme val="minor"/>
    </font>
  </fonts>
  <fills count="5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0" tint="-0.149967955565050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63377788628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9" tint="0.39997558519241921"/>
        <bgColor indexed="64"/>
      </patternFill>
    </fill>
  </fills>
  <borders count="113">
    <border>
      <left/>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auto="1"/>
      </left>
      <right/>
      <top/>
      <bottom/>
      <diagonal/>
    </border>
    <border>
      <left style="thin">
        <color indexed="64"/>
      </left>
      <right style="medium">
        <color auto="1"/>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medium">
        <color auto="1"/>
      </right>
      <top style="thin">
        <color indexed="64"/>
      </top>
      <bottom style="medium">
        <color auto="1"/>
      </bottom>
      <diagonal/>
    </border>
    <border>
      <left style="medium">
        <color auto="1"/>
      </left>
      <right style="thin">
        <color indexed="64"/>
      </right>
      <top/>
      <bottom style="medium">
        <color auto="1"/>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bottom style="medium">
        <color auto="1"/>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ck">
        <color auto="1"/>
      </left>
      <right style="thick">
        <color auto="1"/>
      </right>
      <top style="thick">
        <color auto="1"/>
      </top>
      <bottom style="thick">
        <color auto="1"/>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ck">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ck">
        <color auto="1"/>
      </right>
      <top style="dashed">
        <color auto="1"/>
      </top>
      <bottom style="dashed">
        <color auto="1"/>
      </bottom>
      <diagonal/>
    </border>
    <border>
      <left style="thick">
        <color auto="1"/>
      </left>
      <right style="dashed">
        <color auto="1"/>
      </right>
      <top style="dashed">
        <color auto="1"/>
      </top>
      <bottom style="thick">
        <color auto="1"/>
      </bottom>
      <diagonal/>
    </border>
    <border>
      <left style="dashed">
        <color auto="1"/>
      </left>
      <right style="dashed">
        <color auto="1"/>
      </right>
      <top style="dashed">
        <color auto="1"/>
      </top>
      <bottom style="thick">
        <color auto="1"/>
      </bottom>
      <diagonal/>
    </border>
    <border>
      <left style="dashed">
        <color auto="1"/>
      </left>
      <right style="thick">
        <color auto="1"/>
      </right>
      <top style="dashed">
        <color auto="1"/>
      </top>
      <bottom style="thick">
        <color auto="1"/>
      </bottom>
      <diagonal/>
    </border>
    <border>
      <left style="thick">
        <color auto="1"/>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thick">
        <color auto="1"/>
      </right>
      <top/>
      <bottom style="dashed">
        <color auto="1"/>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medium">
        <color auto="1"/>
      </left>
      <right style="medium">
        <color auto="1"/>
      </right>
      <top/>
      <bottom style="hair">
        <color auto="1"/>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ck">
        <color auto="1"/>
      </left>
      <right style="dashed">
        <color auto="1"/>
      </right>
      <top style="thick">
        <color auto="1"/>
      </top>
      <bottom style="thin">
        <color auto="1"/>
      </bottom>
      <diagonal/>
    </border>
    <border>
      <left style="dashed">
        <color auto="1"/>
      </left>
      <right style="dashed">
        <color auto="1"/>
      </right>
      <top style="thick">
        <color auto="1"/>
      </top>
      <bottom style="thin">
        <color auto="1"/>
      </bottom>
      <diagonal/>
    </border>
    <border>
      <left style="dashed">
        <color auto="1"/>
      </left>
      <right style="thick">
        <color auto="1"/>
      </right>
      <top style="thick">
        <color auto="1"/>
      </top>
      <bottom style="thin">
        <color auto="1"/>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s>
  <cellStyleXfs count="48">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4" fontId="26"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50" fillId="0" borderId="0" applyNumberFormat="0" applyFill="0" applyBorder="0" applyAlignment="0" applyProtection="0"/>
    <xf numFmtId="0" fontId="51" fillId="0" borderId="52" applyNumberFormat="0" applyFill="0" applyAlignment="0" applyProtection="0"/>
    <xf numFmtId="0" fontId="52" fillId="0" borderId="53" applyNumberFormat="0" applyFill="0" applyAlignment="0" applyProtection="0"/>
    <xf numFmtId="0" fontId="53" fillId="0" borderId="54" applyNumberFormat="0" applyFill="0" applyAlignment="0" applyProtection="0"/>
    <xf numFmtId="0" fontId="53" fillId="0" borderId="0" applyNumberFormat="0" applyFill="0" applyBorder="0" applyAlignment="0" applyProtection="0"/>
    <xf numFmtId="0" fontId="54" fillId="8" borderId="0" applyNumberFormat="0" applyBorder="0" applyAlignment="0" applyProtection="0"/>
    <xf numFmtId="0" fontId="55" fillId="9" borderId="0" applyNumberFormat="0" applyBorder="0" applyAlignment="0" applyProtection="0"/>
    <xf numFmtId="0" fontId="56" fillId="10" borderId="0" applyNumberFormat="0" applyBorder="0" applyAlignment="0" applyProtection="0"/>
    <xf numFmtId="0" fontId="57" fillId="11" borderId="55" applyNumberFormat="0" applyAlignment="0" applyProtection="0"/>
    <xf numFmtId="0" fontId="58" fillId="12" borderId="56" applyNumberFormat="0" applyAlignment="0" applyProtection="0"/>
    <xf numFmtId="0" fontId="59" fillId="12" borderId="55" applyNumberFormat="0" applyAlignment="0" applyProtection="0"/>
    <xf numFmtId="0" fontId="60" fillId="0" borderId="57" applyNumberFormat="0" applyFill="0" applyAlignment="0" applyProtection="0"/>
    <xf numFmtId="0" fontId="61" fillId="13" borderId="58" applyNumberFormat="0" applyAlignment="0" applyProtection="0"/>
    <xf numFmtId="0" fontId="48" fillId="0" borderId="0" applyNumberFormat="0" applyFill="0" applyBorder="0" applyAlignment="0" applyProtection="0"/>
    <xf numFmtId="0" fontId="26" fillId="14" borderId="59" applyNumberFormat="0" applyFont="0" applyAlignment="0" applyProtection="0"/>
    <xf numFmtId="0" fontId="62" fillId="0" borderId="0" applyNumberFormat="0" applyFill="0" applyBorder="0" applyAlignment="0" applyProtection="0"/>
    <xf numFmtId="0" fontId="5" fillId="0" borderId="60" applyNumberFormat="0" applyFill="0" applyAlignment="0" applyProtection="0"/>
    <xf numFmtId="0" fontId="63"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63" fillId="18" borderId="0" applyNumberFormat="0" applyBorder="0" applyAlignment="0" applyProtection="0"/>
    <xf numFmtId="0" fontId="63"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63" fillId="22" borderId="0" applyNumberFormat="0" applyBorder="0" applyAlignment="0" applyProtection="0"/>
    <xf numFmtId="0" fontId="63"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63" fillId="26" borderId="0" applyNumberFormat="0" applyBorder="0" applyAlignment="0" applyProtection="0"/>
    <xf numFmtId="0" fontId="63"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63" fillId="30" borderId="0" applyNumberFormat="0" applyBorder="0" applyAlignment="0" applyProtection="0"/>
    <xf numFmtId="0" fontId="63" fillId="31"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63" fillId="34" borderId="0" applyNumberFormat="0" applyBorder="0" applyAlignment="0" applyProtection="0"/>
    <xf numFmtId="0" fontId="63"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63" fillId="38" borderId="0" applyNumberFormat="0" applyBorder="0" applyAlignment="0" applyProtection="0"/>
  </cellStyleXfs>
  <cellXfs count="721">
    <xf numFmtId="0" fontId="0" fillId="0" borderId="0" xfId="0"/>
    <xf numFmtId="0" fontId="0" fillId="0" borderId="0" xfId="0"/>
    <xf numFmtId="0" fontId="6" fillId="0" borderId="0" xfId="0" applyFont="1" applyFill="1" applyBorder="1" applyAlignment="1" applyProtection="1">
      <alignment vertical="center"/>
      <protection hidden="1"/>
    </xf>
    <xf numFmtId="0" fontId="6" fillId="0" borderId="0" xfId="0" applyFont="1" applyFill="1" applyBorder="1" applyProtection="1">
      <protection hidden="1"/>
    </xf>
    <xf numFmtId="0" fontId="7" fillId="0" borderId="0" xfId="0" applyFont="1" applyAlignment="1" applyProtection="1">
      <alignment horizontal="center"/>
      <protection hidden="1"/>
    </xf>
    <xf numFmtId="0" fontId="7" fillId="0" borderId="0" xfId="0" applyNumberFormat="1" applyFont="1" applyBorder="1" applyProtection="1">
      <protection hidden="1"/>
    </xf>
    <xf numFmtId="0" fontId="7" fillId="0" borderId="0" xfId="0" applyFont="1" applyBorder="1" applyProtection="1">
      <protection hidden="1"/>
    </xf>
    <xf numFmtId="0" fontId="7" fillId="0" borderId="0" xfId="0" applyFont="1" applyProtection="1">
      <protection hidden="1"/>
    </xf>
    <xf numFmtId="0" fontId="7" fillId="0" borderId="0" xfId="0" applyFont="1" applyAlignment="1" applyProtection="1">
      <alignment horizontal="center" vertical="center"/>
      <protection hidden="1"/>
    </xf>
    <xf numFmtId="49" fontId="7" fillId="0" borderId="2" xfId="0" applyNumberFormat="1" applyFont="1" applyBorder="1" applyAlignment="1" applyProtection="1">
      <alignment horizontal="right" vertical="center"/>
      <protection hidden="1"/>
    </xf>
    <xf numFmtId="0" fontId="7" fillId="0" borderId="3" xfId="0" applyFont="1" applyBorder="1" applyAlignment="1" applyProtection="1">
      <alignment horizontal="center" vertical="center"/>
      <protection hidden="1"/>
    </xf>
    <xf numFmtId="0" fontId="7" fillId="0" borderId="4" xfId="0" applyFont="1" applyBorder="1" applyAlignment="1" applyProtection="1">
      <alignment horizontal="center" vertical="center" wrapText="1"/>
      <protection hidden="1"/>
    </xf>
    <xf numFmtId="49" fontId="7" fillId="0" borderId="1" xfId="0" applyNumberFormat="1" applyFont="1" applyBorder="1" applyAlignment="1" applyProtection="1">
      <alignment horizontal="left"/>
      <protection hidden="1"/>
    </xf>
    <xf numFmtId="49" fontId="7" fillId="0" borderId="1" xfId="0" applyNumberFormat="1" applyFont="1" applyBorder="1" applyAlignment="1" applyProtection="1">
      <alignment horizontal="right"/>
      <protection hidden="1"/>
    </xf>
    <xf numFmtId="0" fontId="7" fillId="0" borderId="1" xfId="0" applyFont="1" applyBorder="1" applyAlignment="1" applyProtection="1">
      <protection hidden="1"/>
    </xf>
    <xf numFmtId="49" fontId="7" fillId="0" borderId="0" xfId="0" applyNumberFormat="1" applyFont="1" applyBorder="1" applyAlignment="1" applyProtection="1">
      <alignment horizontal="right"/>
      <protection hidden="1"/>
    </xf>
    <xf numFmtId="0" fontId="7" fillId="0" borderId="0" xfId="0" applyFont="1" applyBorder="1" applyAlignment="1" applyProtection="1">
      <alignment horizontal="right"/>
      <protection hidden="1"/>
    </xf>
    <xf numFmtId="0" fontId="8" fillId="0" borderId="0" xfId="0" applyFont="1" applyFill="1" applyAlignment="1" applyProtection="1">
      <alignment horizontal="left" vertical="center" wrapText="1"/>
      <protection hidden="1"/>
    </xf>
    <xf numFmtId="0" fontId="7" fillId="0" borderId="0" xfId="0" applyFont="1" applyFill="1" applyBorder="1" applyAlignment="1" applyProtection="1">
      <alignment vertical="center"/>
      <protection hidden="1"/>
    </xf>
    <xf numFmtId="0" fontId="8" fillId="0" borderId="0" xfId="0" applyFont="1" applyAlignment="1" applyProtection="1">
      <alignment horizontal="right"/>
      <protection hidden="1"/>
    </xf>
    <xf numFmtId="0" fontId="8" fillId="0" borderId="0" xfId="0" applyFont="1" applyBorder="1" applyAlignment="1" applyProtection="1">
      <alignment horizontal="right"/>
      <protection hidden="1"/>
    </xf>
    <xf numFmtId="0" fontId="13" fillId="0" borderId="0" xfId="0" applyFont="1" applyAlignment="1">
      <alignment wrapText="1"/>
    </xf>
    <xf numFmtId="0" fontId="13" fillId="0" borderId="0" xfId="0" applyFont="1"/>
    <xf numFmtId="3" fontId="7" fillId="3" borderId="13" xfId="0" applyNumberFormat="1" applyFont="1" applyFill="1" applyBorder="1" applyProtection="1">
      <protection hidden="1"/>
    </xf>
    <xf numFmtId="0" fontId="12" fillId="0" borderId="0" xfId="0" applyFont="1" applyProtection="1">
      <protection hidden="1"/>
    </xf>
    <xf numFmtId="0" fontId="14" fillId="0" borderId="0" xfId="0" applyFont="1" applyProtection="1">
      <protection hidden="1"/>
    </xf>
    <xf numFmtId="0" fontId="15" fillId="0" borderId="13" xfId="0" applyFont="1" applyBorder="1"/>
    <xf numFmtId="0" fontId="13" fillId="0" borderId="0" xfId="0" applyFont="1" applyAlignment="1">
      <alignment horizontal="center"/>
    </xf>
    <xf numFmtId="0" fontId="13" fillId="0" borderId="17" xfId="0" applyFont="1" applyBorder="1"/>
    <xf numFmtId="0" fontId="13" fillId="0" borderId="8" xfId="0" applyFont="1" applyBorder="1"/>
    <xf numFmtId="10" fontId="13" fillId="0" borderId="18" xfId="0" applyNumberFormat="1" applyFont="1" applyBorder="1"/>
    <xf numFmtId="0" fontId="13" fillId="0" borderId="11" xfId="0" applyFont="1" applyBorder="1"/>
    <xf numFmtId="0" fontId="13" fillId="0" borderId="0" xfId="0" applyFont="1" applyBorder="1"/>
    <xf numFmtId="0" fontId="13" fillId="0" borderId="19" xfId="0" applyFont="1" applyBorder="1"/>
    <xf numFmtId="0" fontId="13" fillId="0" borderId="12" xfId="0" applyFont="1" applyBorder="1"/>
    <xf numFmtId="0" fontId="13" fillId="0" borderId="7" xfId="0" applyFont="1" applyBorder="1"/>
    <xf numFmtId="0" fontId="13" fillId="0" borderId="10" xfId="0" applyFont="1" applyBorder="1"/>
    <xf numFmtId="0" fontId="13" fillId="0" borderId="20" xfId="0" applyFont="1" applyBorder="1"/>
    <xf numFmtId="0" fontId="13" fillId="0" borderId="9" xfId="0" applyFont="1" applyBorder="1"/>
    <xf numFmtId="10" fontId="13" fillId="0" borderId="21" xfId="0" applyNumberFormat="1" applyFont="1" applyBorder="1"/>
    <xf numFmtId="0" fontId="0" fillId="0" borderId="0" xfId="0" applyFont="1"/>
    <xf numFmtId="0" fontId="7" fillId="0" borderId="0" xfId="0" applyFont="1" applyAlignment="1">
      <alignment horizontal="left" vertical="center"/>
    </xf>
    <xf numFmtId="0" fontId="16" fillId="0" borderId="0" xfId="0" applyFont="1" applyAlignment="1">
      <alignment horizontal="left" vertical="center"/>
    </xf>
    <xf numFmtId="0" fontId="13" fillId="0" borderId="0" xfId="0" applyFont="1" applyAlignment="1">
      <alignment horizontal="justify" vertical="center"/>
    </xf>
    <xf numFmtId="3" fontId="7" fillId="3" borderId="10" xfId="0" applyNumberFormat="1" applyFont="1" applyFill="1" applyBorder="1" applyProtection="1">
      <protection hidden="1"/>
    </xf>
    <xf numFmtId="3" fontId="7" fillId="3" borderId="30" xfId="0" applyNumberFormat="1" applyFont="1" applyFill="1" applyBorder="1" applyProtection="1">
      <protection hidden="1"/>
    </xf>
    <xf numFmtId="3" fontId="7" fillId="3" borderId="14" xfId="0" applyNumberFormat="1" applyFont="1" applyFill="1" applyBorder="1" applyProtection="1">
      <protection hidden="1"/>
    </xf>
    <xf numFmtId="0" fontId="12" fillId="0" borderId="0" xfId="0" applyFont="1" applyFill="1" applyBorder="1" applyProtection="1">
      <protection hidden="1"/>
    </xf>
    <xf numFmtId="49" fontId="7" fillId="0" borderId="7" xfId="0" applyNumberFormat="1" applyFont="1" applyBorder="1" applyAlignment="1" applyProtection="1">
      <alignment horizontal="right"/>
      <protection hidden="1"/>
    </xf>
    <xf numFmtId="10" fontId="7" fillId="0" borderId="0" xfId="0" applyNumberFormat="1" applyFont="1" applyBorder="1" applyProtection="1">
      <protection hidden="1"/>
    </xf>
    <xf numFmtId="49" fontId="7" fillId="0" borderId="9" xfId="0" applyNumberFormat="1" applyFont="1" applyBorder="1" applyAlignment="1" applyProtection="1">
      <alignment horizontal="right"/>
      <protection hidden="1"/>
    </xf>
    <xf numFmtId="0" fontId="7" fillId="0" borderId="10" xfId="0" applyFont="1" applyBorder="1" applyAlignment="1" applyProtection="1">
      <alignment horizontal="right"/>
      <protection hidden="1"/>
    </xf>
    <xf numFmtId="0" fontId="7" fillId="0" borderId="0" xfId="0" applyFont="1" applyFill="1" applyBorder="1" applyAlignment="1" applyProtection="1">
      <alignment vertical="center" wrapText="1"/>
      <protection hidden="1"/>
    </xf>
    <xf numFmtId="0" fontId="12" fillId="0" borderId="12" xfId="3" applyFont="1" applyBorder="1" applyAlignment="1" applyProtection="1">
      <alignment horizontal="left"/>
      <protection hidden="1"/>
    </xf>
    <xf numFmtId="165" fontId="7" fillId="3" borderId="14" xfId="0" applyNumberFormat="1" applyFont="1" applyFill="1" applyBorder="1" applyProtection="1">
      <protection hidden="1"/>
    </xf>
    <xf numFmtId="0" fontId="6" fillId="2" borderId="0" xfId="0" applyFont="1" applyFill="1" applyBorder="1" applyAlignment="1" applyProtection="1">
      <alignment vertical="center"/>
      <protection hidden="1"/>
    </xf>
    <xf numFmtId="0" fontId="6" fillId="2" borderId="0" xfId="0" applyFont="1" applyFill="1" applyBorder="1" applyAlignment="1" applyProtection="1">
      <alignment horizontal="center" vertical="center"/>
      <protection hidden="1"/>
    </xf>
    <xf numFmtId="0" fontId="8" fillId="0" borderId="0" xfId="0" applyFont="1" applyProtection="1">
      <protection hidden="1"/>
    </xf>
    <xf numFmtId="0" fontId="8" fillId="0" borderId="0" xfId="0" applyFont="1" applyBorder="1" applyProtection="1">
      <protection hidden="1"/>
    </xf>
    <xf numFmtId="0" fontId="8" fillId="0" borderId="0" xfId="0" applyFont="1" applyBorder="1" applyAlignment="1" applyProtection="1">
      <alignment horizontal="center"/>
      <protection hidden="1"/>
    </xf>
    <xf numFmtId="0" fontId="8" fillId="2" borderId="0" xfId="0" applyFont="1" applyFill="1" applyBorder="1" applyAlignment="1" applyProtection="1">
      <alignment horizontal="center"/>
      <protection hidden="1"/>
    </xf>
    <xf numFmtId="0" fontId="8" fillId="2" borderId="0" xfId="0" applyFont="1" applyFill="1" applyProtection="1">
      <protection hidden="1"/>
    </xf>
    <xf numFmtId="0" fontId="14" fillId="0" borderId="0" xfId="0" applyFont="1" applyAlignment="1" applyProtection="1">
      <alignment horizontal="center"/>
      <protection hidden="1"/>
    </xf>
    <xf numFmtId="0" fontId="19" fillId="0" borderId="0" xfId="0" applyFont="1" applyFill="1" applyBorder="1" applyProtection="1">
      <protection hidden="1"/>
    </xf>
    <xf numFmtId="0" fontId="8" fillId="0" borderId="0" xfId="0" applyFont="1" applyBorder="1" applyAlignment="1" applyProtection="1">
      <alignment horizontal="left"/>
      <protection hidden="1"/>
    </xf>
    <xf numFmtId="0" fontId="8" fillId="0" borderId="0" xfId="0" applyFont="1" applyAlignment="1" applyProtection="1">
      <protection hidden="1"/>
    </xf>
    <xf numFmtId="0" fontId="14" fillId="0" borderId="0" xfId="0" applyFont="1" applyAlignment="1" applyProtection="1">
      <protection hidden="1"/>
    </xf>
    <xf numFmtId="0" fontId="8" fillId="0" borderId="0" xfId="0" applyFont="1" applyFill="1" applyProtection="1">
      <protection hidden="1"/>
    </xf>
    <xf numFmtId="0" fontId="14" fillId="0" borderId="0" xfId="0" applyFont="1" applyBorder="1" applyProtection="1">
      <protection hidden="1"/>
    </xf>
    <xf numFmtId="0" fontId="14" fillId="0" borderId="0" xfId="0" applyFont="1" applyFill="1" applyProtection="1">
      <protection hidden="1"/>
    </xf>
    <xf numFmtId="0" fontId="8" fillId="0" borderId="11" xfId="0" applyFont="1" applyBorder="1" applyProtection="1">
      <protection hidden="1"/>
    </xf>
    <xf numFmtId="0" fontId="7" fillId="0" borderId="0" xfId="0" applyFont="1" applyBorder="1" applyAlignment="1" applyProtection="1">
      <protection hidden="1"/>
    </xf>
    <xf numFmtId="0" fontId="20" fillId="0" borderId="0" xfId="0" applyFont="1" applyProtection="1">
      <protection hidden="1"/>
    </xf>
    <xf numFmtId="49" fontId="21" fillId="0" borderId="12" xfId="0" applyNumberFormat="1" applyFont="1" applyBorder="1" applyAlignment="1" applyProtection="1">
      <alignment horizontal="center" vertical="center"/>
      <protection hidden="1"/>
    </xf>
    <xf numFmtId="3" fontId="7" fillId="3" borderId="13" xfId="0" applyNumberFormat="1" applyFont="1" applyFill="1" applyBorder="1" applyAlignment="1" applyProtection="1">
      <alignment horizontal="right"/>
      <protection hidden="1"/>
    </xf>
    <xf numFmtId="0" fontId="20" fillId="0" borderId="0" xfId="0" applyFont="1" applyBorder="1" applyAlignment="1" applyProtection="1">
      <alignment horizontal="left"/>
      <protection hidden="1"/>
    </xf>
    <xf numFmtId="0" fontId="20" fillId="0" borderId="19" xfId="0" applyFont="1" applyBorder="1" applyAlignment="1" applyProtection="1">
      <alignment horizontal="left"/>
      <protection hidden="1"/>
    </xf>
    <xf numFmtId="0" fontId="22" fillId="0" borderId="0" xfId="0" applyFont="1" applyFill="1" applyBorder="1" applyProtection="1">
      <protection hidden="1"/>
    </xf>
    <xf numFmtId="0" fontId="20" fillId="2" borderId="0" xfId="0" applyFont="1" applyFill="1" applyBorder="1" applyAlignment="1" applyProtection="1">
      <protection hidden="1"/>
    </xf>
    <xf numFmtId="0" fontId="20" fillId="0" borderId="19" xfId="0" applyFont="1" applyBorder="1" applyAlignment="1" applyProtection="1">
      <alignment horizontal="right"/>
      <protection hidden="1"/>
    </xf>
    <xf numFmtId="0" fontId="8" fillId="0" borderId="0" xfId="0" applyFont="1" applyAlignment="1" applyProtection="1">
      <alignment vertical="top"/>
      <protection hidden="1"/>
    </xf>
    <xf numFmtId="0" fontId="7" fillId="0" borderId="0" xfId="0" applyFont="1" applyAlignment="1" applyProtection="1">
      <alignment horizontal="center" vertical="top"/>
      <protection hidden="1"/>
    </xf>
    <xf numFmtId="0" fontId="7" fillId="0" borderId="0" xfId="0" applyFont="1" applyBorder="1" applyAlignment="1" applyProtection="1">
      <alignment horizontal="center" vertical="top"/>
      <protection hidden="1"/>
    </xf>
    <xf numFmtId="0" fontId="14" fillId="0" borderId="0" xfId="0" applyFont="1" applyAlignment="1" applyProtection="1">
      <alignment vertical="top"/>
      <protection hidden="1"/>
    </xf>
    <xf numFmtId="0" fontId="6" fillId="0" borderId="0" xfId="0" applyFont="1" applyFill="1" applyBorder="1" applyAlignment="1" applyProtection="1">
      <alignment vertical="top"/>
      <protection hidden="1"/>
    </xf>
    <xf numFmtId="3" fontId="7" fillId="3" borderId="13" xfId="0" applyNumberFormat="1" applyFont="1" applyFill="1" applyBorder="1" applyAlignment="1" applyProtection="1">
      <alignment vertical="top"/>
      <protection hidden="1"/>
    </xf>
    <xf numFmtId="0" fontId="8" fillId="0" borderId="0" xfId="0" applyFont="1" applyAlignment="1" applyProtection="1">
      <alignment vertical="center"/>
      <protection hidden="1"/>
    </xf>
    <xf numFmtId="0" fontId="8" fillId="0" borderId="0" xfId="0" applyFont="1" applyFill="1" applyAlignment="1" applyProtection="1">
      <alignment vertical="top"/>
      <protection hidden="1"/>
    </xf>
    <xf numFmtId="0" fontId="7" fillId="0" borderId="0" xfId="0" applyFont="1" applyBorder="1" applyAlignment="1" applyProtection="1">
      <alignment vertical="top"/>
      <protection hidden="1"/>
    </xf>
    <xf numFmtId="0" fontId="11" fillId="0" borderId="0" xfId="0" applyFont="1" applyBorder="1" applyAlignment="1" applyProtection="1">
      <alignment vertical="top"/>
      <protection hidden="1"/>
    </xf>
    <xf numFmtId="49" fontId="8" fillId="0" borderId="0" xfId="0" applyNumberFormat="1" applyFont="1" applyAlignment="1" applyProtection="1">
      <protection hidden="1"/>
    </xf>
    <xf numFmtId="0" fontId="8" fillId="2" borderId="0" xfId="0" applyFont="1" applyFill="1" applyAlignment="1" applyProtection="1">
      <alignment vertical="center"/>
      <protection hidden="1"/>
    </xf>
    <xf numFmtId="0" fontId="7" fillId="2" borderId="0" xfId="0" applyFont="1" applyFill="1" applyAlignment="1" applyProtection="1">
      <alignment horizontal="center" vertical="center"/>
      <protection hidden="1"/>
    </xf>
    <xf numFmtId="0" fontId="7" fillId="0" borderId="0" xfId="0" applyFont="1" applyAlignment="1" applyProtection="1">
      <alignment vertical="center"/>
      <protection hidden="1"/>
    </xf>
    <xf numFmtId="0" fontId="7" fillId="0" borderId="0" xfId="0" applyFont="1" applyFill="1" applyBorder="1" applyAlignment="1" applyProtection="1">
      <alignment horizontal="right" vertical="top" wrapText="1"/>
      <protection hidden="1"/>
    </xf>
    <xf numFmtId="0" fontId="20" fillId="0" borderId="0" xfId="0" applyFont="1" applyAlignment="1" applyProtection="1">
      <alignment horizontal="right" vertical="center"/>
      <protection hidden="1"/>
    </xf>
    <xf numFmtId="3" fontId="7" fillId="0" borderId="0" xfId="0" applyNumberFormat="1" applyFont="1" applyFill="1" applyBorder="1" applyProtection="1">
      <protection hidden="1"/>
    </xf>
    <xf numFmtId="0" fontId="6" fillId="0" borderId="35" xfId="0" applyFont="1" applyFill="1" applyBorder="1" applyAlignment="1" applyProtection="1">
      <alignment horizontal="right" vertical="center"/>
      <protection hidden="1"/>
    </xf>
    <xf numFmtId="0" fontId="12" fillId="0" borderId="35" xfId="0" applyFont="1" applyBorder="1" applyAlignment="1" applyProtection="1">
      <alignment horizontal="right" vertical="center"/>
      <protection hidden="1"/>
    </xf>
    <xf numFmtId="3" fontId="12" fillId="3" borderId="38" xfId="0" applyNumberFormat="1" applyFont="1" applyFill="1" applyBorder="1" applyAlignment="1" applyProtection="1">
      <alignment vertical="center"/>
      <protection hidden="1"/>
    </xf>
    <xf numFmtId="0" fontId="7" fillId="0" borderId="39" xfId="0" applyFont="1" applyBorder="1" applyAlignment="1" applyProtection="1">
      <alignment horizontal="right" vertical="center"/>
      <protection hidden="1"/>
    </xf>
    <xf numFmtId="0" fontId="7" fillId="0" borderId="8" xfId="0" applyFont="1" applyBorder="1" applyProtection="1">
      <protection hidden="1"/>
    </xf>
    <xf numFmtId="0" fontId="7" fillId="0" borderId="17" xfId="0" applyFont="1" applyBorder="1" applyProtection="1">
      <protection hidden="1"/>
    </xf>
    <xf numFmtId="0" fontId="8" fillId="0" borderId="18" xfId="0" applyFont="1" applyBorder="1" applyProtection="1">
      <protection hidden="1"/>
    </xf>
    <xf numFmtId="0" fontId="20" fillId="0" borderId="21" xfId="3" applyFont="1" applyBorder="1" applyAlignment="1" applyProtection="1">
      <alignment horizontal="right"/>
      <protection hidden="1"/>
    </xf>
    <xf numFmtId="0" fontId="22" fillId="0" borderId="0" xfId="0" applyFont="1" applyFill="1" applyBorder="1" applyAlignment="1" applyProtection="1">
      <alignment horizontal="center"/>
      <protection hidden="1"/>
    </xf>
    <xf numFmtId="0" fontId="7" fillId="0" borderId="35" xfId="0" applyFont="1" applyBorder="1" applyAlignment="1" applyProtection="1">
      <alignment horizontal="right" vertical="center"/>
      <protection hidden="1"/>
    </xf>
    <xf numFmtId="0" fontId="6" fillId="0" borderId="0" xfId="0" applyFont="1" applyFill="1" applyBorder="1" applyAlignment="1" applyProtection="1">
      <alignment horizontal="center"/>
      <protection hidden="1"/>
    </xf>
    <xf numFmtId="0" fontId="6" fillId="0" borderId="0" xfId="0" applyFont="1" applyFill="1" applyBorder="1" applyAlignment="1" applyProtection="1">
      <alignment horizontal="center" vertical="center"/>
      <protection hidden="1"/>
    </xf>
    <xf numFmtId="49" fontId="28" fillId="0" borderId="5" xfId="0" applyNumberFormat="1" applyFont="1" applyBorder="1" applyAlignment="1" applyProtection="1">
      <alignment horizontal="right"/>
      <protection hidden="1"/>
    </xf>
    <xf numFmtId="0" fontId="7" fillId="2" borderId="0" xfId="0" applyFont="1" applyFill="1" applyAlignment="1" applyProtection="1">
      <alignment vertical="center"/>
      <protection hidden="1"/>
    </xf>
    <xf numFmtId="0" fontId="24" fillId="2" borderId="0" xfId="0" applyFont="1" applyFill="1" applyBorder="1" applyProtection="1">
      <protection hidden="1"/>
    </xf>
    <xf numFmtId="0" fontId="7" fillId="2" borderId="0" xfId="0" applyFont="1" applyFill="1" applyBorder="1" applyAlignment="1" applyProtection="1">
      <alignment horizontal="right" vertical="center"/>
      <protection hidden="1"/>
    </xf>
    <xf numFmtId="0" fontId="9" fillId="2" borderId="0" xfId="0" applyFont="1" applyFill="1" applyBorder="1" applyAlignment="1" applyProtection="1">
      <alignment horizontal="right" vertical="center"/>
      <protection hidden="1"/>
    </xf>
    <xf numFmtId="0" fontId="10" fillId="2" borderId="0" xfId="0" applyFont="1" applyFill="1" applyBorder="1" applyAlignment="1" applyProtection="1">
      <alignment horizontal="left" vertical="center"/>
      <protection hidden="1"/>
    </xf>
    <xf numFmtId="0" fontId="7" fillId="2" borderId="0" xfId="0" applyFont="1" applyFill="1" applyBorder="1" applyAlignment="1" applyProtection="1">
      <alignment horizontal="right"/>
      <protection hidden="1"/>
    </xf>
    <xf numFmtId="0" fontId="7" fillId="0" borderId="0" xfId="0" applyFont="1" applyFill="1" applyBorder="1" applyAlignment="1" applyProtection="1">
      <alignment horizontal="center" vertical="center" wrapText="1"/>
      <protection hidden="1"/>
    </xf>
    <xf numFmtId="0" fontId="7" fillId="0" borderId="0" xfId="0" applyFont="1" applyBorder="1" applyAlignment="1" applyProtection="1">
      <alignment horizontal="center"/>
      <protection hidden="1"/>
    </xf>
    <xf numFmtId="0" fontId="7" fillId="0" borderId="0" xfId="0" applyFont="1" applyAlignment="1" applyProtection="1">
      <alignment horizontal="right" vertical="center"/>
      <protection hidden="1"/>
    </xf>
    <xf numFmtId="0" fontId="18" fillId="0" borderId="0" xfId="0" applyFont="1" applyAlignment="1" applyProtection="1">
      <alignment horizontal="center"/>
      <protection hidden="1"/>
    </xf>
    <xf numFmtId="0" fontId="16" fillId="0" borderId="0" xfId="0" applyFont="1" applyBorder="1" applyAlignment="1">
      <alignment vertical="center"/>
    </xf>
    <xf numFmtId="0" fontId="7" fillId="0" borderId="0" xfId="0" applyFont="1" applyBorder="1" applyAlignment="1" applyProtection="1">
      <alignment vertical="center"/>
      <protection hidden="1"/>
    </xf>
    <xf numFmtId="0" fontId="8" fillId="0" borderId="9" xfId="0" applyFont="1" applyBorder="1" applyProtection="1">
      <protection hidden="1"/>
    </xf>
    <xf numFmtId="0" fontId="8" fillId="0" borderId="0" xfId="0" applyFont="1" applyAlignment="1" applyProtection="1">
      <alignment horizontal="center" vertical="center"/>
      <protection hidden="1"/>
    </xf>
    <xf numFmtId="0" fontId="6" fillId="0" borderId="31" xfId="0" applyFont="1" applyFill="1" applyBorder="1" applyAlignment="1" applyProtection="1">
      <alignment horizontal="right" vertical="center"/>
      <protection hidden="1"/>
    </xf>
    <xf numFmtId="0" fontId="6" fillId="0" borderId="32" xfId="0" applyFont="1" applyFill="1" applyBorder="1" applyAlignment="1" applyProtection="1">
      <alignment horizontal="right" vertical="center"/>
      <protection hidden="1"/>
    </xf>
    <xf numFmtId="3" fontId="12" fillId="2" borderId="0" xfId="0" applyNumberFormat="1" applyFont="1" applyFill="1" applyBorder="1" applyAlignment="1" applyProtection="1">
      <alignment vertical="center"/>
      <protection hidden="1"/>
    </xf>
    <xf numFmtId="0" fontId="8" fillId="0" borderId="8" xfId="0" applyFont="1" applyBorder="1" applyProtection="1">
      <protection hidden="1"/>
    </xf>
    <xf numFmtId="3" fontId="12" fillId="3" borderId="47" xfId="0" applyNumberFormat="1" applyFont="1" applyFill="1" applyBorder="1" applyAlignment="1" applyProtection="1">
      <alignment vertical="center"/>
      <protection hidden="1"/>
    </xf>
    <xf numFmtId="0" fontId="20" fillId="2" borderId="11" xfId="0" applyFont="1" applyFill="1" applyBorder="1" applyAlignment="1" applyProtection="1">
      <alignment horizontal="left"/>
      <protection hidden="1"/>
    </xf>
    <xf numFmtId="0" fontId="22" fillId="0" borderId="0" xfId="0" applyFont="1" applyFill="1" applyBorder="1" applyAlignment="1" applyProtection="1">
      <alignment horizontal="right"/>
      <protection hidden="1"/>
    </xf>
    <xf numFmtId="0" fontId="18" fillId="0" borderId="0" xfId="0" applyFont="1" applyFill="1" applyAlignment="1" applyProtection="1">
      <alignment vertical="center"/>
      <protection hidden="1"/>
    </xf>
    <xf numFmtId="0" fontId="19" fillId="0" borderId="0" xfId="0" applyFont="1" applyFill="1" applyBorder="1" applyAlignment="1" applyProtection="1">
      <alignment horizontal="center"/>
      <protection hidden="1"/>
    </xf>
    <xf numFmtId="0" fontId="14" fillId="2" borderId="0" xfId="0" applyFont="1" applyFill="1" applyBorder="1" applyAlignment="1" applyProtection="1">
      <alignment vertical="center"/>
      <protection hidden="1"/>
    </xf>
    <xf numFmtId="0" fontId="18" fillId="0" borderId="0" xfId="0" applyFont="1" applyAlignment="1" applyProtection="1">
      <alignment vertical="center"/>
      <protection hidden="1"/>
    </xf>
    <xf numFmtId="0" fontId="20" fillId="0" borderId="0" xfId="0" applyFont="1" applyAlignment="1" applyProtection="1">
      <alignment vertical="center"/>
      <protection hidden="1"/>
    </xf>
    <xf numFmtId="0" fontId="7" fillId="0" borderId="9" xfId="0" applyFont="1" applyBorder="1" applyProtection="1">
      <protection hidden="1"/>
    </xf>
    <xf numFmtId="0" fontId="31" fillId="0" borderId="0" xfId="0" applyNumberFormat="1" applyFont="1" applyProtection="1">
      <protection hidden="1"/>
    </xf>
    <xf numFmtId="0" fontId="32" fillId="0" borderId="0" xfId="0" applyFont="1" applyProtection="1">
      <protection hidden="1"/>
    </xf>
    <xf numFmtId="0" fontId="34" fillId="0" borderId="0" xfId="0" applyFont="1" applyAlignment="1" applyProtection="1">
      <alignment vertical="top"/>
      <protection hidden="1"/>
    </xf>
    <xf numFmtId="0" fontId="27" fillId="0" borderId="0" xfId="0" applyFont="1" applyProtection="1">
      <protection hidden="1"/>
    </xf>
    <xf numFmtId="0" fontId="14" fillId="0" borderId="0" xfId="0" applyFont="1" applyAlignment="1" applyProtection="1">
      <alignment vertical="center"/>
      <protection hidden="1"/>
    </xf>
    <xf numFmtId="0" fontId="7" fillId="0" borderId="19" xfId="0" applyFont="1" applyBorder="1" applyAlignment="1" applyProtection="1">
      <alignment horizontal="right" vertical="center"/>
      <protection hidden="1"/>
    </xf>
    <xf numFmtId="0" fontId="8" fillId="0" borderId="0" xfId="0" applyFont="1" applyFill="1" applyBorder="1" applyProtection="1">
      <protection hidden="1"/>
    </xf>
    <xf numFmtId="164" fontId="30" fillId="2" borderId="0" xfId="0" applyNumberFormat="1" applyFont="1" applyFill="1" applyBorder="1" applyAlignment="1" applyProtection="1">
      <protection hidden="1"/>
    </xf>
    <xf numFmtId="3" fontId="7" fillId="4" borderId="13" xfId="0" applyNumberFormat="1" applyFont="1" applyFill="1" applyBorder="1" applyProtection="1">
      <protection locked="0" hidden="1"/>
    </xf>
    <xf numFmtId="3" fontId="7" fillId="4" borderId="13" xfId="0" applyNumberFormat="1" applyFont="1" applyFill="1" applyBorder="1" applyAlignment="1" applyProtection="1">
      <protection locked="0" hidden="1"/>
    </xf>
    <xf numFmtId="3" fontId="7" fillId="4" borderId="14" xfId="0" applyNumberFormat="1" applyFont="1" applyFill="1" applyBorder="1" applyProtection="1">
      <protection locked="0" hidden="1"/>
    </xf>
    <xf numFmtId="165" fontId="7" fillId="4" borderId="13" xfId="0" applyNumberFormat="1" applyFont="1" applyFill="1" applyBorder="1" applyProtection="1">
      <protection locked="0" hidden="1"/>
    </xf>
    <xf numFmtId="165" fontId="7" fillId="4" borderId="15" xfId="0" applyNumberFormat="1" applyFont="1" applyFill="1" applyBorder="1" applyProtection="1">
      <protection locked="0" hidden="1"/>
    </xf>
    <xf numFmtId="165" fontId="7" fillId="4" borderId="14" xfId="0" applyNumberFormat="1" applyFont="1" applyFill="1" applyBorder="1" applyProtection="1">
      <protection locked="0" hidden="1"/>
    </xf>
    <xf numFmtId="3" fontId="7" fillId="4" borderId="44" xfId="0" applyNumberFormat="1" applyFont="1" applyFill="1" applyBorder="1" applyAlignment="1" applyProtection="1">
      <alignment vertical="center"/>
      <protection locked="0" hidden="1"/>
    </xf>
    <xf numFmtId="3" fontId="7" fillId="4" borderId="45" xfId="0" applyNumberFormat="1" applyFont="1" applyFill="1" applyBorder="1" applyAlignment="1" applyProtection="1">
      <alignment vertical="center"/>
      <protection locked="0" hidden="1"/>
    </xf>
    <xf numFmtId="3" fontId="7" fillId="4" borderId="36" xfId="0" applyNumberFormat="1" applyFont="1" applyFill="1" applyBorder="1" applyAlignment="1" applyProtection="1">
      <alignment vertical="center"/>
      <protection locked="0" hidden="1"/>
    </xf>
    <xf numFmtId="10" fontId="7" fillId="4" borderId="36" xfId="0" applyNumberFormat="1" applyFont="1" applyFill="1" applyBorder="1" applyAlignment="1" applyProtection="1">
      <alignment vertical="center"/>
      <protection locked="0" hidden="1"/>
    </xf>
    <xf numFmtId="4" fontId="7" fillId="4" borderId="36" xfId="0" applyNumberFormat="1" applyFont="1" applyFill="1" applyBorder="1" applyAlignment="1" applyProtection="1">
      <alignment vertical="center"/>
      <protection locked="0" hidden="1"/>
    </xf>
    <xf numFmtId="3" fontId="12" fillId="4" borderId="36" xfId="0" applyNumberFormat="1" applyFont="1" applyFill="1" applyBorder="1" applyAlignment="1" applyProtection="1">
      <alignment vertical="center"/>
      <protection locked="0" hidden="1"/>
    </xf>
    <xf numFmtId="3" fontId="6" fillId="4" borderId="36" xfId="0" applyNumberFormat="1" applyFont="1" applyFill="1" applyBorder="1" applyAlignment="1" applyProtection="1">
      <alignment horizontal="right" vertical="center"/>
      <protection locked="0" hidden="1"/>
    </xf>
    <xf numFmtId="10" fontId="12" fillId="4" borderId="36" xfId="0" applyNumberFormat="1" applyFont="1" applyFill="1" applyBorder="1" applyAlignment="1" applyProtection="1">
      <alignment vertical="center"/>
      <protection locked="0" hidden="1"/>
    </xf>
    <xf numFmtId="4" fontId="6" fillId="4" borderId="46" xfId="0" applyNumberFormat="1" applyFont="1" applyFill="1" applyBorder="1" applyAlignment="1" applyProtection="1">
      <alignment horizontal="right" vertical="center"/>
      <protection locked="0" hidden="1"/>
    </xf>
    <xf numFmtId="0" fontId="14" fillId="4" borderId="13" xfId="0" applyFont="1" applyFill="1" applyBorder="1" applyProtection="1">
      <protection locked="0" hidden="1"/>
    </xf>
    <xf numFmtId="3" fontId="7" fillId="4" borderId="13" xfId="0" applyNumberFormat="1" applyFont="1" applyFill="1" applyBorder="1" applyAlignment="1" applyProtection="1">
      <alignment horizontal="center" vertical="center"/>
      <protection locked="0" hidden="1"/>
    </xf>
    <xf numFmtId="0" fontId="8" fillId="4" borderId="34" xfId="0" applyFont="1" applyFill="1" applyBorder="1" applyAlignment="1" applyProtection="1">
      <protection locked="0" hidden="1"/>
    </xf>
    <xf numFmtId="0" fontId="8" fillId="4" borderId="15" xfId="0" applyFont="1" applyFill="1" applyBorder="1" applyAlignment="1" applyProtection="1">
      <protection locked="0" hidden="1"/>
    </xf>
    <xf numFmtId="0" fontId="14" fillId="0" borderId="0" xfId="0" applyFont="1" applyFill="1" applyBorder="1" applyProtection="1">
      <protection hidden="1"/>
    </xf>
    <xf numFmtId="0" fontId="22" fillId="0" borderId="0" xfId="0" applyFont="1" applyFill="1" applyBorder="1" applyAlignment="1" applyProtection="1">
      <alignment vertical="center"/>
      <protection hidden="1"/>
    </xf>
    <xf numFmtId="0" fontId="22" fillId="0" borderId="0" xfId="0" applyFont="1" applyFill="1" applyBorder="1" applyAlignment="1" applyProtection="1">
      <alignment horizontal="left" vertical="center"/>
      <protection hidden="1"/>
    </xf>
    <xf numFmtId="0" fontId="22" fillId="0" borderId="11" xfId="0" applyFont="1" applyFill="1" applyBorder="1" applyAlignment="1" applyProtection="1">
      <alignment horizontal="center" vertical="center"/>
      <protection hidden="1"/>
    </xf>
    <xf numFmtId="164" fontId="16" fillId="5" borderId="22" xfId="0" applyNumberFormat="1" applyFont="1" applyFill="1" applyBorder="1" applyAlignment="1" applyProtection="1">
      <alignment horizontal="right"/>
      <protection hidden="1"/>
    </xf>
    <xf numFmtId="166" fontId="35" fillId="0" borderId="0" xfId="0" applyNumberFormat="1" applyFont="1" applyFill="1" applyBorder="1" applyAlignment="1" applyProtection="1">
      <alignment horizontal="center" vertical="center"/>
      <protection hidden="1"/>
    </xf>
    <xf numFmtId="0" fontId="7" fillId="0" borderId="2" xfId="0" applyFont="1" applyBorder="1" applyAlignment="1" applyProtection="1">
      <alignment horizontal="center" vertical="center" wrapText="1"/>
      <protection hidden="1"/>
    </xf>
    <xf numFmtId="0" fontId="7" fillId="0" borderId="0" xfId="0" applyFont="1" applyBorder="1" applyAlignment="1" applyProtection="1">
      <alignment horizontal="right" vertical="center"/>
      <protection hidden="1"/>
    </xf>
    <xf numFmtId="0" fontId="12" fillId="0" borderId="20" xfId="3" applyFont="1" applyBorder="1" applyAlignment="1" applyProtection="1">
      <alignment horizontal="left"/>
      <protection hidden="1"/>
    </xf>
    <xf numFmtId="0" fontId="8" fillId="0" borderId="0" xfId="0" applyFont="1" applyAlignment="1" applyProtection="1">
      <alignment horizontal="center"/>
      <protection hidden="1"/>
    </xf>
    <xf numFmtId="0" fontId="2" fillId="2" borderId="0" xfId="0" applyFont="1" applyFill="1" applyBorder="1" applyAlignment="1" applyProtection="1">
      <alignment vertical="center"/>
      <protection hidden="1"/>
    </xf>
    <xf numFmtId="0" fontId="11" fillId="0" borderId="7" xfId="0" applyFont="1" applyBorder="1" applyAlignment="1" applyProtection="1">
      <protection hidden="1"/>
    </xf>
    <xf numFmtId="0" fontId="8" fillId="0" borderId="0" xfId="0" applyFont="1" applyBorder="1" applyAlignment="1" applyProtection="1">
      <alignment vertical="center"/>
      <protection hidden="1"/>
    </xf>
    <xf numFmtId="49" fontId="21" fillId="0" borderId="20" xfId="0" applyNumberFormat="1" applyFont="1" applyBorder="1" applyAlignment="1" applyProtection="1">
      <alignment horizontal="center" vertical="center"/>
      <protection hidden="1"/>
    </xf>
    <xf numFmtId="0" fontId="12" fillId="0" borderId="20" xfId="3" applyFont="1" applyBorder="1" applyAlignment="1" applyProtection="1">
      <protection hidden="1"/>
    </xf>
    <xf numFmtId="0" fontId="12" fillId="0" borderId="9" xfId="3" applyFont="1" applyBorder="1" applyAlignment="1" applyProtection="1">
      <protection hidden="1"/>
    </xf>
    <xf numFmtId="0" fontId="8" fillId="0" borderId="8" xfId="0" applyFont="1" applyBorder="1" applyAlignment="1" applyProtection="1">
      <alignment vertical="center"/>
      <protection hidden="1"/>
    </xf>
    <xf numFmtId="3" fontId="12" fillId="6" borderId="13" xfId="0" applyNumberFormat="1" applyFont="1" applyFill="1" applyBorder="1" applyProtection="1">
      <protection hidden="1"/>
    </xf>
    <xf numFmtId="10" fontId="7" fillId="0" borderId="0" xfId="0" applyNumberFormat="1" applyFont="1" applyFill="1" applyBorder="1" applyProtection="1">
      <protection hidden="1"/>
    </xf>
    <xf numFmtId="0" fontId="11" fillId="0" borderId="0" xfId="0" applyFont="1" applyFill="1" applyBorder="1" applyAlignment="1" applyProtection="1">
      <alignment horizontal="right" vertical="top"/>
      <protection hidden="1"/>
    </xf>
    <xf numFmtId="0" fontId="7" fillId="0" borderId="0" xfId="0" applyFont="1" applyFill="1" applyBorder="1" applyAlignment="1" applyProtection="1">
      <alignment horizontal="right"/>
      <protection hidden="1"/>
    </xf>
    <xf numFmtId="3" fontId="12" fillId="3" borderId="21" xfId="0" applyNumberFormat="1" applyFont="1" applyFill="1" applyBorder="1" applyProtection="1">
      <protection hidden="1"/>
    </xf>
    <xf numFmtId="3" fontId="7" fillId="0" borderId="0" xfId="0" applyNumberFormat="1" applyFont="1" applyFill="1" applyBorder="1" applyAlignment="1" applyProtection="1">
      <alignment horizontal="right"/>
      <protection hidden="1"/>
    </xf>
    <xf numFmtId="0" fontId="8" fillId="0" borderId="0" xfId="0" applyFont="1" applyFill="1" applyBorder="1" applyAlignment="1" applyProtection="1">
      <alignment vertical="center"/>
      <protection hidden="1"/>
    </xf>
    <xf numFmtId="0" fontId="16" fillId="0" borderId="0" xfId="0" applyNumberFormat="1" applyFont="1" applyFill="1" applyBorder="1" applyAlignment="1" applyProtection="1">
      <alignment horizontal="right"/>
      <protection hidden="1"/>
    </xf>
    <xf numFmtId="0" fontId="20" fillId="0" borderId="0" xfId="0" applyFont="1" applyFill="1" applyBorder="1" applyAlignment="1" applyProtection="1">
      <alignment horizontal="left"/>
      <protection hidden="1"/>
    </xf>
    <xf numFmtId="3" fontId="9" fillId="6" borderId="4" xfId="0" applyNumberFormat="1" applyFont="1" applyFill="1" applyBorder="1" applyAlignment="1" applyProtection="1">
      <alignment horizontal="right" vertical="top"/>
      <protection hidden="1"/>
    </xf>
    <xf numFmtId="0" fontId="12" fillId="0" borderId="20" xfId="0" applyFont="1" applyBorder="1" applyAlignment="1" applyProtection="1">
      <alignment horizontal="center"/>
      <protection hidden="1"/>
    </xf>
    <xf numFmtId="3" fontId="12" fillId="3" borderId="10" xfId="0" applyNumberFormat="1" applyFont="1" applyFill="1" applyBorder="1" applyProtection="1">
      <protection hidden="1"/>
    </xf>
    <xf numFmtId="0" fontId="7" fillId="0" borderId="4" xfId="0" applyFont="1" applyBorder="1" applyProtection="1">
      <protection hidden="1"/>
    </xf>
    <xf numFmtId="3" fontId="7" fillId="0" borderId="8" xfId="0" applyNumberFormat="1" applyFont="1" applyFill="1" applyBorder="1" applyAlignment="1" applyProtection="1">
      <alignment vertical="center"/>
      <protection hidden="1"/>
    </xf>
    <xf numFmtId="0" fontId="16" fillId="0" borderId="0" xfId="0" applyFont="1" applyFill="1" applyBorder="1" applyAlignment="1" applyProtection="1">
      <alignment horizontal="right"/>
      <protection hidden="1"/>
    </xf>
    <xf numFmtId="3" fontId="7" fillId="3" borderId="4" xfId="0" applyNumberFormat="1" applyFont="1" applyFill="1" applyBorder="1" applyProtection="1">
      <protection hidden="1"/>
    </xf>
    <xf numFmtId="0" fontId="11" fillId="0" borderId="11" xfId="0" applyFont="1" applyBorder="1" applyAlignment="1" applyProtection="1">
      <alignment horizontal="right" vertical="top"/>
      <protection hidden="1"/>
    </xf>
    <xf numFmtId="0" fontId="11" fillId="0" borderId="11" xfId="0" applyFont="1" applyFill="1" applyBorder="1" applyAlignment="1" applyProtection="1">
      <alignment horizontal="right" vertical="top"/>
      <protection hidden="1"/>
    </xf>
    <xf numFmtId="0" fontId="14" fillId="0" borderId="0" xfId="0" applyFont="1" applyFill="1" applyBorder="1" applyAlignment="1" applyProtection="1">
      <alignment vertical="top"/>
      <protection hidden="1"/>
    </xf>
    <xf numFmtId="3" fontId="12" fillId="7" borderId="34" xfId="0" applyNumberFormat="1" applyFont="1" applyFill="1" applyBorder="1" applyProtection="1">
      <protection hidden="1"/>
    </xf>
    <xf numFmtId="0" fontId="11" fillId="0" borderId="0" xfId="0" applyFont="1" applyFill="1" applyBorder="1" applyAlignment="1" applyProtection="1">
      <alignment vertical="top"/>
      <protection hidden="1"/>
    </xf>
    <xf numFmtId="14" fontId="7" fillId="0" borderId="11" xfId="0" applyNumberFormat="1" applyFont="1" applyFill="1" applyBorder="1" applyAlignment="1" applyProtection="1">
      <alignment horizontal="left" vertical="center"/>
      <protection hidden="1"/>
    </xf>
    <xf numFmtId="14" fontId="8" fillId="0" borderId="11" xfId="0" applyNumberFormat="1" applyFont="1" applyFill="1" applyBorder="1" applyAlignment="1" applyProtection="1">
      <alignment horizontal="left" vertical="center"/>
      <protection hidden="1"/>
    </xf>
    <xf numFmtId="0" fontId="5" fillId="0" borderId="0" xfId="0" applyFont="1" applyAlignment="1">
      <alignment horizontal="left"/>
    </xf>
    <xf numFmtId="0" fontId="36" fillId="0" borderId="0" xfId="0" applyFont="1" applyProtection="1">
      <protection hidden="1"/>
    </xf>
    <xf numFmtId="49" fontId="6" fillId="0" borderId="0" xfId="0" applyNumberFormat="1" applyFont="1" applyFill="1" applyBorder="1" applyAlignment="1" applyProtection="1">
      <alignment horizontal="right"/>
      <protection hidden="1"/>
    </xf>
    <xf numFmtId="0" fontId="29" fillId="0" borderId="16" xfId="0" applyFont="1" applyFill="1" applyBorder="1" applyAlignment="1" applyProtection="1">
      <alignment horizontal="right" vertical="center"/>
      <protection hidden="1"/>
    </xf>
    <xf numFmtId="49" fontId="6" fillId="0" borderId="0" xfId="0" applyNumberFormat="1" applyFont="1" applyFill="1" applyBorder="1" applyAlignment="1" applyProtection="1">
      <alignment horizontal="right" indent="1"/>
      <protection hidden="1"/>
    </xf>
    <xf numFmtId="49" fontId="6" fillId="0" borderId="19" xfId="0" applyNumberFormat="1" applyFont="1" applyFill="1" applyBorder="1" applyAlignment="1" applyProtection="1">
      <alignment horizontal="right" indent="1"/>
      <protection hidden="1"/>
    </xf>
    <xf numFmtId="49" fontId="25" fillId="0" borderId="0" xfId="0" applyNumberFormat="1" applyFont="1" applyFill="1" applyBorder="1" applyAlignment="1" applyProtection="1">
      <alignment horizontal="right" indent="1"/>
      <protection hidden="1"/>
    </xf>
    <xf numFmtId="0" fontId="12" fillId="0" borderId="0" xfId="0" applyFont="1" applyAlignment="1" applyProtection="1">
      <alignment vertical="top"/>
      <protection hidden="1"/>
    </xf>
    <xf numFmtId="0" fontId="29" fillId="2" borderId="0" xfId="0" applyFont="1" applyFill="1" applyBorder="1" applyAlignment="1" applyProtection="1">
      <alignment horizontal="right"/>
      <protection hidden="1"/>
    </xf>
    <xf numFmtId="166" fontId="29" fillId="2" borderId="0" xfId="0" applyNumberFormat="1" applyFont="1" applyFill="1" applyBorder="1" applyAlignment="1" applyProtection="1">
      <alignment horizontal="right"/>
      <protection hidden="1"/>
    </xf>
    <xf numFmtId="0" fontId="29" fillId="2" borderId="0" xfId="0" applyFont="1" applyFill="1" applyBorder="1" applyAlignment="1" applyProtection="1">
      <alignment horizontal="right" vertical="center"/>
      <protection hidden="1"/>
    </xf>
    <xf numFmtId="164" fontId="29" fillId="2" borderId="0" xfId="0" applyNumberFormat="1" applyFont="1" applyFill="1" applyBorder="1" applyAlignment="1" applyProtection="1">
      <protection hidden="1"/>
    </xf>
    <xf numFmtId="0" fontId="8" fillId="0" borderId="12" xfId="0" applyFont="1" applyBorder="1" applyProtection="1">
      <protection hidden="1"/>
    </xf>
    <xf numFmtId="0" fontId="8" fillId="0" borderId="7" xfId="0" applyFont="1" applyBorder="1" applyProtection="1">
      <protection hidden="1"/>
    </xf>
    <xf numFmtId="0" fontId="8" fillId="0" borderId="10" xfId="0" applyFont="1" applyBorder="1" applyProtection="1">
      <protection hidden="1"/>
    </xf>
    <xf numFmtId="0" fontId="20" fillId="0" borderId="0" xfId="0" applyFont="1" applyAlignment="1" applyProtection="1">
      <alignment horizontal="right"/>
      <protection hidden="1"/>
    </xf>
    <xf numFmtId="0" fontId="18" fillId="0" borderId="0" xfId="0" applyFont="1" applyBorder="1" applyAlignment="1" applyProtection="1">
      <alignment horizontal="center"/>
      <protection hidden="1"/>
    </xf>
    <xf numFmtId="0" fontId="18" fillId="0" borderId="0" xfId="0" applyFont="1" applyAlignment="1" applyProtection="1">
      <alignment horizontal="left" vertical="center"/>
      <protection hidden="1"/>
    </xf>
    <xf numFmtId="0" fontId="38" fillId="2" borderId="0" xfId="0" applyFont="1" applyFill="1" applyAlignment="1" applyProtection="1">
      <protection hidden="1"/>
    </xf>
    <xf numFmtId="0" fontId="38" fillId="2" borderId="0" xfId="0" applyFont="1" applyFill="1" applyProtection="1">
      <protection hidden="1"/>
    </xf>
    <xf numFmtId="0" fontId="38" fillId="2" borderId="0" xfId="0" applyFont="1" applyFill="1" applyAlignment="1" applyProtection="1">
      <alignment horizontal="left" vertical="top" wrapText="1"/>
      <protection hidden="1"/>
    </xf>
    <xf numFmtId="0" fontId="37" fillId="2" borderId="8" xfId="0" applyFont="1" applyFill="1" applyBorder="1" applyAlignment="1" applyProtection="1">
      <alignment horizontal="left" vertical="top" wrapText="1"/>
      <protection hidden="1"/>
    </xf>
    <xf numFmtId="0" fontId="38" fillId="2" borderId="8" xfId="0" applyFont="1" applyFill="1" applyBorder="1" applyAlignment="1" applyProtection="1">
      <alignment horizontal="left" vertical="top" wrapText="1"/>
      <protection hidden="1"/>
    </xf>
    <xf numFmtId="0" fontId="38" fillId="2" borderId="18" xfId="0" applyFont="1" applyFill="1" applyBorder="1" applyAlignment="1" applyProtection="1">
      <alignment horizontal="left" vertical="top" wrapText="1"/>
      <protection hidden="1"/>
    </xf>
    <xf numFmtId="49" fontId="16" fillId="0" borderId="11" xfId="0" applyNumberFormat="1" applyFont="1" applyFill="1" applyBorder="1" applyAlignment="1" applyProtection="1">
      <alignment horizontal="center" vertical="top" wrapText="1"/>
      <protection hidden="1"/>
    </xf>
    <xf numFmtId="0" fontId="38" fillId="0" borderId="0" xfId="0" applyFont="1" applyFill="1" applyAlignment="1" applyProtection="1">
      <protection hidden="1"/>
    </xf>
    <xf numFmtId="0" fontId="38" fillId="0" borderId="0" xfId="0" applyFont="1" applyFill="1" applyProtection="1">
      <protection hidden="1"/>
    </xf>
    <xf numFmtId="49" fontId="16" fillId="2" borderId="11" xfId="0" applyNumberFormat="1" applyFont="1" applyFill="1" applyBorder="1" applyAlignment="1" applyProtection="1">
      <alignment horizontal="center" vertical="top" wrapText="1"/>
      <protection hidden="1"/>
    </xf>
    <xf numFmtId="49" fontId="16" fillId="0" borderId="12" xfId="0" applyNumberFormat="1" applyFont="1" applyFill="1" applyBorder="1" applyAlignment="1" applyProtection="1">
      <alignment horizontal="center" vertical="top" wrapText="1"/>
      <protection hidden="1"/>
    </xf>
    <xf numFmtId="0" fontId="40" fillId="2" borderId="8" xfId="0" applyFont="1" applyFill="1" applyBorder="1" applyAlignment="1" applyProtection="1">
      <alignment horizontal="left" vertical="top" wrapText="1"/>
      <protection hidden="1"/>
    </xf>
    <xf numFmtId="0" fontId="38" fillId="2" borderId="0" xfId="0" applyFont="1" applyFill="1" applyAlignment="1" applyProtection="1">
      <alignment horizontal="left" vertical="center" indent="5"/>
      <protection hidden="1"/>
    </xf>
    <xf numFmtId="0" fontId="38" fillId="2" borderId="0" xfId="0" applyFont="1" applyFill="1" applyAlignment="1" applyProtection="1">
      <alignment vertical="top" wrapText="1"/>
      <protection hidden="1"/>
    </xf>
    <xf numFmtId="0" fontId="38" fillId="2" borderId="0" xfId="0" applyFont="1" applyFill="1" applyAlignment="1" applyProtection="1">
      <alignment vertical="center"/>
      <protection hidden="1"/>
    </xf>
    <xf numFmtId="0" fontId="16" fillId="2" borderId="0" xfId="0" applyFont="1" applyFill="1" applyAlignment="1" applyProtection="1">
      <alignment horizontal="right" vertical="top"/>
      <protection hidden="1"/>
    </xf>
    <xf numFmtId="0" fontId="38" fillId="2" borderId="0" xfId="0" applyFont="1" applyFill="1" applyAlignment="1" applyProtection="1">
      <alignment horizontal="right"/>
      <protection hidden="1"/>
    </xf>
    <xf numFmtId="0" fontId="37" fillId="2" borderId="0" xfId="0" applyFont="1" applyFill="1" applyAlignment="1" applyProtection="1">
      <alignment horizontal="center" vertical="center"/>
      <protection hidden="1"/>
    </xf>
    <xf numFmtId="49" fontId="16" fillId="0" borderId="0" xfId="0" applyNumberFormat="1" applyFont="1" applyFill="1" applyBorder="1" applyAlignment="1" applyProtection="1">
      <alignment horizontal="center" vertical="top" wrapText="1"/>
      <protection hidden="1"/>
    </xf>
    <xf numFmtId="49" fontId="38" fillId="0" borderId="0" xfId="0" applyNumberFormat="1" applyFont="1" applyFill="1" applyBorder="1" applyAlignment="1" applyProtection="1">
      <alignment horizontal="left" vertical="top" wrapText="1"/>
      <protection hidden="1"/>
    </xf>
    <xf numFmtId="0" fontId="16" fillId="2" borderId="17" xfId="0" applyFont="1" applyFill="1" applyBorder="1" applyAlignment="1" applyProtection="1">
      <alignment vertical="center"/>
      <protection hidden="1"/>
    </xf>
    <xf numFmtId="0" fontId="7" fillId="0" borderId="0" xfId="0" applyFont="1" applyAlignment="1" applyProtection="1">
      <alignment horizontal="left"/>
      <protection hidden="1"/>
    </xf>
    <xf numFmtId="0" fontId="14" fillId="4" borderId="14" xfId="0" applyFont="1" applyFill="1" applyBorder="1" applyProtection="1">
      <protection hidden="1"/>
    </xf>
    <xf numFmtId="0" fontId="42" fillId="0" borderId="0" xfId="0" applyFont="1" applyBorder="1" applyProtection="1">
      <protection hidden="1"/>
    </xf>
    <xf numFmtId="0" fontId="42" fillId="0" borderId="0" xfId="0" applyFont="1" applyProtection="1">
      <protection hidden="1"/>
    </xf>
    <xf numFmtId="0" fontId="42" fillId="2" borderId="0" xfId="0" applyFont="1" applyFill="1" applyProtection="1">
      <protection hidden="1"/>
    </xf>
    <xf numFmtId="0" fontId="42" fillId="0" borderId="0" xfId="0" applyFont="1" applyAlignment="1" applyProtection="1">
      <alignment horizontal="center"/>
      <protection hidden="1"/>
    </xf>
    <xf numFmtId="0" fontId="42" fillId="0" borderId="0" xfId="0" applyFont="1" applyAlignment="1" applyProtection="1">
      <alignment vertical="center"/>
      <protection hidden="1"/>
    </xf>
    <xf numFmtId="0" fontId="42" fillId="2" borderId="0" xfId="0" applyFont="1" applyFill="1" applyAlignment="1" applyProtection="1">
      <alignment vertical="center"/>
      <protection hidden="1"/>
    </xf>
    <xf numFmtId="0" fontId="43" fillId="0" borderId="0" xfId="0" applyFont="1" applyAlignment="1" applyProtection="1">
      <alignment horizontal="right" vertical="center"/>
      <protection hidden="1"/>
    </xf>
    <xf numFmtId="0" fontId="43" fillId="2" borderId="0" xfId="0" applyFont="1" applyFill="1" applyAlignment="1" applyProtection="1">
      <alignment vertical="center"/>
      <protection hidden="1"/>
    </xf>
    <xf numFmtId="0" fontId="42" fillId="0" borderId="0" xfId="0" applyFont="1" applyAlignment="1" applyProtection="1">
      <alignment vertical="top"/>
      <protection hidden="1"/>
    </xf>
    <xf numFmtId="0" fontId="42" fillId="0" borderId="0" xfId="0" applyFont="1" applyAlignment="1" applyProtection="1">
      <protection hidden="1"/>
    </xf>
    <xf numFmtId="0" fontId="42" fillId="0" borderId="0" xfId="0" applyFont="1" applyBorder="1" applyAlignment="1" applyProtection="1">
      <alignment vertical="center"/>
      <protection hidden="1"/>
    </xf>
    <xf numFmtId="0" fontId="42" fillId="0" borderId="0" xfId="0" applyFont="1" applyFill="1" applyBorder="1" applyAlignment="1" applyProtection="1">
      <alignment vertical="center"/>
      <protection hidden="1"/>
    </xf>
    <xf numFmtId="0" fontId="42" fillId="0" borderId="0" xfId="0" applyFont="1" applyFill="1" applyProtection="1">
      <protection hidden="1"/>
    </xf>
    <xf numFmtId="0" fontId="43" fillId="0" borderId="0" xfId="0" applyFont="1" applyFill="1" applyAlignment="1" applyProtection="1">
      <alignment vertical="center"/>
      <protection hidden="1"/>
    </xf>
    <xf numFmtId="0" fontId="42" fillId="0" borderId="0" xfId="0" applyFont="1" applyFill="1" applyAlignment="1" applyProtection="1">
      <alignment vertical="top"/>
      <protection hidden="1"/>
    </xf>
    <xf numFmtId="0" fontId="43" fillId="0" borderId="0" xfId="0" applyFont="1" applyFill="1" applyAlignment="1" applyProtection="1">
      <alignment vertical="top"/>
      <protection hidden="1"/>
    </xf>
    <xf numFmtId="0" fontId="38" fillId="0" borderId="0" xfId="0" applyFont="1"/>
    <xf numFmtId="0" fontId="45" fillId="0" borderId="0" xfId="0" applyFont="1" applyProtection="1">
      <protection hidden="1"/>
    </xf>
    <xf numFmtId="49" fontId="38" fillId="0" borderId="0" xfId="0" applyNumberFormat="1" applyFont="1"/>
    <xf numFmtId="49" fontId="38" fillId="0" borderId="0" xfId="0" quotePrefix="1" applyNumberFormat="1" applyFont="1"/>
    <xf numFmtId="3" fontId="7" fillId="3" borderId="38" xfId="0" applyNumberFormat="1" applyFont="1" applyFill="1" applyBorder="1" applyProtection="1">
      <protection hidden="1"/>
    </xf>
    <xf numFmtId="3" fontId="12" fillId="4" borderId="44" xfId="0" applyNumberFormat="1" applyFont="1" applyFill="1" applyBorder="1" applyProtection="1">
      <protection locked="0" hidden="1"/>
    </xf>
    <xf numFmtId="0" fontId="39" fillId="0" borderId="0" xfId="0" applyFont="1" applyAlignment="1" applyProtection="1">
      <alignment horizontal="right" vertical="center"/>
      <protection hidden="1"/>
    </xf>
    <xf numFmtId="0" fontId="6" fillId="0" borderId="0" xfId="0" applyFont="1" applyFill="1" applyBorder="1" applyAlignment="1" applyProtection="1">
      <alignment horizontal="left" vertical="center"/>
      <protection hidden="1"/>
    </xf>
    <xf numFmtId="0" fontId="47" fillId="0" borderId="0" xfId="0" applyFont="1" applyFill="1" applyBorder="1" applyAlignment="1" applyProtection="1">
      <alignment vertical="center"/>
      <protection hidden="1"/>
    </xf>
    <xf numFmtId="0" fontId="39" fillId="0" borderId="16" xfId="0" applyFont="1" applyFill="1" applyBorder="1" applyAlignment="1" applyProtection="1">
      <alignment horizontal="right" vertical="center"/>
      <protection hidden="1"/>
    </xf>
    <xf numFmtId="0" fontId="12" fillId="2" borderId="0" xfId="0" applyFont="1" applyFill="1" applyBorder="1" applyAlignment="1" applyProtection="1">
      <alignment horizontal="right" vertical="center" indent="1"/>
      <protection hidden="1"/>
    </xf>
    <xf numFmtId="0" fontId="20" fillId="2" borderId="0" xfId="0" applyFont="1" applyFill="1" applyAlignment="1" applyProtection="1">
      <alignment horizontal="left" vertical="center"/>
      <protection hidden="1"/>
    </xf>
    <xf numFmtId="0" fontId="36" fillId="0" borderId="0" xfId="0" applyFont="1" applyAlignment="1" applyProtection="1">
      <alignment vertical="center"/>
      <protection hidden="1"/>
    </xf>
    <xf numFmtId="0" fontId="6" fillId="0" borderId="0" xfId="0" applyNumberFormat="1" applyFont="1" applyFill="1" applyBorder="1" applyAlignment="1" applyProtection="1">
      <alignment horizontal="right" vertical="center" indent="1"/>
      <protection hidden="1"/>
    </xf>
    <xf numFmtId="0" fontId="64" fillId="2" borderId="19" xfId="0" applyFont="1" applyFill="1" applyBorder="1" applyAlignment="1" applyProtection="1">
      <alignment horizontal="right" indent="1"/>
      <protection hidden="1"/>
    </xf>
    <xf numFmtId="0" fontId="7" fillId="0" borderId="0" xfId="0" applyFont="1" applyAlignment="1" applyProtection="1">
      <alignment horizontal="right" indent="1"/>
      <protection hidden="1"/>
    </xf>
    <xf numFmtId="0" fontId="6" fillId="0" borderId="0" xfId="0" applyFont="1" applyFill="1" applyBorder="1" applyAlignment="1" applyProtection="1">
      <alignment horizontal="right" vertical="center" indent="1"/>
      <protection hidden="1"/>
    </xf>
    <xf numFmtId="49" fontId="6" fillId="2" borderId="0" xfId="0" applyNumberFormat="1" applyFont="1" applyFill="1" applyBorder="1" applyAlignment="1" applyProtection="1">
      <alignment horizontal="right" indent="1"/>
      <protection hidden="1"/>
    </xf>
    <xf numFmtId="49" fontId="6" fillId="4" borderId="13" xfId="0" applyNumberFormat="1" applyFont="1" applyFill="1" applyBorder="1" applyAlignment="1" applyProtection="1">
      <alignment horizontal="center"/>
      <protection locked="0" hidden="1"/>
    </xf>
    <xf numFmtId="0" fontId="7" fillId="0" borderId="19" xfId="0" applyFont="1" applyBorder="1" applyAlignment="1" applyProtection="1">
      <alignment horizontal="right" vertical="center" indent="1"/>
      <protection hidden="1"/>
    </xf>
    <xf numFmtId="0" fontId="23" fillId="0" borderId="0" xfId="0" applyFont="1" applyFill="1" applyBorder="1" applyAlignment="1" applyProtection="1">
      <alignment vertical="center"/>
      <protection hidden="1"/>
    </xf>
    <xf numFmtId="0" fontId="0" fillId="0" borderId="0" xfId="0" applyFont="1" applyAlignment="1">
      <alignment vertical="top"/>
    </xf>
    <xf numFmtId="164" fontId="16" fillId="5" borderId="61" xfId="0" applyNumberFormat="1" applyFont="1" applyFill="1" applyBorder="1" applyAlignment="1" applyProtection="1">
      <alignment horizontal="right"/>
      <protection hidden="1"/>
    </xf>
    <xf numFmtId="164" fontId="16" fillId="5" borderId="0" xfId="0" applyNumberFormat="1" applyFont="1" applyFill="1" applyBorder="1" applyAlignment="1" applyProtection="1">
      <alignment horizontal="right"/>
      <protection hidden="1"/>
    </xf>
    <xf numFmtId="164" fontId="16" fillId="5" borderId="61" xfId="0" applyNumberFormat="1" applyFont="1" applyFill="1" applyBorder="1" applyAlignment="1" applyProtection="1">
      <alignment horizontal="right" vertical="center"/>
      <protection hidden="1"/>
    </xf>
    <xf numFmtId="0" fontId="7" fillId="0" borderId="0" xfId="0" applyFont="1" applyFill="1" applyBorder="1" applyAlignment="1" applyProtection="1">
      <alignment horizontal="right" vertical="top" wrapText="1" indent="1"/>
      <protection hidden="1"/>
    </xf>
    <xf numFmtId="0" fontId="7" fillId="0" borderId="0" xfId="0" applyFont="1" applyFill="1" applyBorder="1" applyAlignment="1" applyProtection="1">
      <alignment horizontal="right" vertical="center" indent="1"/>
      <protection hidden="1"/>
    </xf>
    <xf numFmtId="3" fontId="7" fillId="0" borderId="10" xfId="0" applyNumberFormat="1" applyFont="1" applyFill="1" applyBorder="1" applyAlignment="1" applyProtection="1">
      <alignment horizontal="right"/>
      <protection hidden="1"/>
    </xf>
    <xf numFmtId="0" fontId="0" fillId="0" borderId="0" xfId="0" applyFont="1" applyProtection="1">
      <protection hidden="1"/>
    </xf>
    <xf numFmtId="0" fontId="0" fillId="0" borderId="0" xfId="0" applyFont="1" applyAlignment="1" applyProtection="1">
      <alignment horizontal="center" vertical="top"/>
      <protection hidden="1"/>
    </xf>
    <xf numFmtId="0" fontId="38" fillId="0" borderId="0" xfId="0" applyFont="1" applyFill="1" applyBorder="1" applyProtection="1">
      <protection hidden="1"/>
    </xf>
    <xf numFmtId="0" fontId="16" fillId="2" borderId="12" xfId="0" applyFont="1" applyFill="1" applyBorder="1" applyAlignment="1" applyProtection="1">
      <alignment horizontal="center" vertical="top"/>
      <protection hidden="1"/>
    </xf>
    <xf numFmtId="0" fontId="16" fillId="2" borderId="20" xfId="0" applyFont="1" applyFill="1" applyBorder="1" applyAlignment="1" applyProtection="1">
      <alignment horizontal="center" vertical="top"/>
      <protection hidden="1"/>
    </xf>
    <xf numFmtId="0" fontId="16" fillId="2" borderId="11" xfId="0" applyFont="1" applyFill="1" applyBorder="1" applyAlignment="1" applyProtection="1">
      <alignment horizontal="center" vertical="top"/>
      <protection hidden="1"/>
    </xf>
    <xf numFmtId="0" fontId="8" fillId="0" borderId="25" xfId="0" applyFont="1" applyBorder="1" applyProtection="1">
      <protection hidden="1"/>
    </xf>
    <xf numFmtId="0" fontId="8" fillId="2" borderId="0" xfId="0" applyFont="1" applyFill="1" applyAlignment="1" applyProtection="1">
      <alignment vertical="center"/>
      <protection locked="0"/>
    </xf>
    <xf numFmtId="0" fontId="7" fillId="0" borderId="0" xfId="0" applyFont="1" applyBorder="1" applyAlignment="1" applyProtection="1">
      <alignment horizontal="right" indent="1"/>
      <protection hidden="1"/>
    </xf>
    <xf numFmtId="0" fontId="0" fillId="3" borderId="66" xfId="0" applyFill="1" applyBorder="1"/>
    <xf numFmtId="0" fontId="0" fillId="0" borderId="0" xfId="0"/>
    <xf numFmtId="0" fontId="8" fillId="0" borderId="0" xfId="0" applyFont="1" applyAlignment="1" applyProtection="1">
      <alignment vertical="top"/>
      <protection hidden="1"/>
    </xf>
    <xf numFmtId="0" fontId="8" fillId="0" borderId="0" xfId="0" applyFont="1" applyAlignment="1" applyProtection="1">
      <alignment vertical="top"/>
      <protection hidden="1"/>
    </xf>
    <xf numFmtId="0" fontId="0" fillId="0" borderId="35" xfId="0" applyBorder="1" applyAlignment="1" applyProtection="1">
      <alignment vertical="top"/>
      <protection hidden="1"/>
    </xf>
    <xf numFmtId="0" fontId="8" fillId="0" borderId="0" xfId="0" applyFont="1" applyAlignment="1" applyProtection="1">
      <alignment horizontal="center" vertical="top"/>
      <protection hidden="1"/>
    </xf>
    <xf numFmtId="0" fontId="8" fillId="0" borderId="0" xfId="0" applyFont="1" applyBorder="1" applyAlignment="1" applyProtection="1">
      <alignment horizontal="center" vertical="top"/>
      <protection hidden="1"/>
    </xf>
    <xf numFmtId="0" fontId="0" fillId="0" borderId="0" xfId="0" applyBorder="1" applyAlignment="1" applyProtection="1">
      <alignment vertical="top"/>
      <protection hidden="1"/>
    </xf>
    <xf numFmtId="0" fontId="8" fillId="0" borderId="0" xfId="0" applyFont="1" applyAlignment="1" applyProtection="1">
      <alignment horizontal="center" vertical="top"/>
      <protection hidden="1"/>
    </xf>
    <xf numFmtId="0" fontId="8" fillId="0" borderId="5" xfId="0" applyFont="1" applyBorder="1" applyAlignment="1" applyProtection="1">
      <alignment horizontal="center" vertical="top"/>
      <protection hidden="1"/>
    </xf>
    <xf numFmtId="14" fontId="8" fillId="2" borderId="0" xfId="0" applyNumberFormat="1" applyFont="1" applyFill="1" applyAlignment="1" applyProtection="1">
      <alignment vertical="center"/>
      <protection locked="0"/>
    </xf>
    <xf numFmtId="170" fontId="8" fillId="0" borderId="0" xfId="0" applyNumberFormat="1" applyFont="1" applyProtection="1">
      <protection hidden="1"/>
    </xf>
    <xf numFmtId="168" fontId="7" fillId="4" borderId="44" xfId="0" applyNumberFormat="1" applyFont="1" applyFill="1" applyBorder="1" applyAlignment="1" applyProtection="1">
      <alignment vertical="center"/>
      <protection locked="0" hidden="1"/>
    </xf>
    <xf numFmtId="168" fontId="7" fillId="4" borderId="36" xfId="0" applyNumberFormat="1" applyFont="1" applyFill="1" applyBorder="1" applyAlignment="1" applyProtection="1">
      <alignment vertical="center"/>
      <protection locked="0" hidden="1"/>
    </xf>
    <xf numFmtId="0" fontId="69" fillId="0" borderId="0" xfId="0" applyFont="1" applyAlignment="1" applyProtection="1">
      <alignment horizontal="left" vertical="center" wrapText="1"/>
      <protection hidden="1"/>
    </xf>
    <xf numFmtId="0" fontId="68" fillId="0" borderId="0" xfId="0" applyFont="1" applyAlignment="1" applyProtection="1">
      <alignment horizontal="left" vertical="center"/>
      <protection hidden="1"/>
    </xf>
    <xf numFmtId="14" fontId="7" fillId="4" borderId="13" xfId="0" applyNumberFormat="1" applyFont="1" applyFill="1" applyBorder="1" applyAlignment="1" applyProtection="1">
      <alignment horizontal="center" vertical="center"/>
      <protection locked="0" hidden="1"/>
    </xf>
    <xf numFmtId="0" fontId="70" fillId="0" borderId="0" xfId="0" applyFont="1" applyFill="1" applyBorder="1" applyAlignment="1" applyProtection="1">
      <alignment vertical="center"/>
      <protection hidden="1"/>
    </xf>
    <xf numFmtId="0" fontId="14" fillId="0" borderId="0" xfId="0" applyFont="1" applyProtection="1">
      <protection hidden="1"/>
    </xf>
    <xf numFmtId="0" fontId="0" fillId="0" borderId="0" xfId="0" applyFont="1"/>
    <xf numFmtId="0" fontId="8" fillId="0" borderId="0" xfId="0" applyFont="1" applyProtection="1">
      <protection hidden="1"/>
    </xf>
    <xf numFmtId="0" fontId="8" fillId="0" borderId="0" xfId="0" applyFont="1" applyFill="1" applyProtection="1">
      <protection hidden="1"/>
    </xf>
    <xf numFmtId="0" fontId="14" fillId="0" borderId="0" xfId="0" applyFont="1" applyFill="1" applyProtection="1">
      <protection hidden="1"/>
    </xf>
    <xf numFmtId="0" fontId="73" fillId="0" borderId="0" xfId="0" applyFont="1" applyProtection="1">
      <protection hidden="1"/>
    </xf>
    <xf numFmtId="0" fontId="73" fillId="0" borderId="0" xfId="0" applyFont="1" applyFill="1" applyProtection="1">
      <protection hidden="1"/>
    </xf>
    <xf numFmtId="0" fontId="0" fillId="0" borderId="0" xfId="0" applyProtection="1">
      <protection hidden="1"/>
    </xf>
    <xf numFmtId="0" fontId="0" fillId="0" borderId="0" xfId="0" applyAlignment="1" applyProtection="1">
      <alignment horizontal="center"/>
      <protection hidden="1"/>
    </xf>
    <xf numFmtId="0" fontId="0" fillId="0" borderId="0" xfId="0" applyAlignment="1" applyProtection="1">
      <alignment horizontal="right"/>
      <protection hidden="1"/>
    </xf>
    <xf numFmtId="0" fontId="74" fillId="0" borderId="0" xfId="0" applyFont="1"/>
    <xf numFmtId="0" fontId="5" fillId="0" borderId="0" xfId="0" applyFont="1" applyBorder="1" applyProtection="1">
      <protection hidden="1"/>
    </xf>
    <xf numFmtId="49" fontId="5" fillId="0" borderId="0" xfId="0" applyNumberFormat="1" applyFont="1" applyBorder="1" applyProtection="1">
      <protection hidden="1"/>
    </xf>
    <xf numFmtId="0" fontId="0" fillId="0" borderId="0" xfId="0" applyFont="1" applyAlignment="1">
      <alignment horizontal="center"/>
    </xf>
    <xf numFmtId="0" fontId="5" fillId="0" borderId="0" xfId="0" applyFont="1" applyAlignment="1" applyProtection="1">
      <alignment horizontal="left"/>
      <protection hidden="1"/>
    </xf>
    <xf numFmtId="0" fontId="5" fillId="0" borderId="0" xfId="0" applyFont="1" applyProtection="1">
      <protection hidden="1"/>
    </xf>
    <xf numFmtId="0" fontId="0" fillId="0" borderId="0" xfId="0" applyFont="1" applyBorder="1" applyProtection="1">
      <protection hidden="1"/>
    </xf>
    <xf numFmtId="0" fontId="49" fillId="2" borderId="40" xfId="0" applyFont="1" applyFill="1" applyBorder="1" applyAlignment="1" applyProtection="1">
      <alignment horizontal="left"/>
      <protection hidden="1"/>
    </xf>
    <xf numFmtId="0" fontId="49" fillId="2" borderId="7" xfId="0" applyFont="1" applyFill="1" applyBorder="1" applyAlignment="1" applyProtection="1">
      <alignment horizontal="left"/>
      <protection hidden="1"/>
    </xf>
    <xf numFmtId="0" fontId="49" fillId="2" borderId="7" xfId="0" applyFont="1" applyFill="1" applyBorder="1" applyAlignment="1" applyProtection="1">
      <alignment horizontal="right" wrapText="1"/>
      <protection hidden="1"/>
    </xf>
    <xf numFmtId="37" fontId="49" fillId="2" borderId="7" xfId="4" applyNumberFormat="1" applyFont="1" applyFill="1" applyBorder="1" applyProtection="1">
      <protection hidden="1"/>
    </xf>
    <xf numFmtId="0" fontId="0" fillId="0" borderId="41" xfId="0" applyFont="1" applyBorder="1" applyProtection="1">
      <protection hidden="1"/>
    </xf>
    <xf numFmtId="0" fontId="49" fillId="2" borderId="23" xfId="0" applyFont="1" applyFill="1" applyBorder="1" applyAlignment="1" applyProtection="1">
      <alignment horizontal="left"/>
      <protection hidden="1"/>
    </xf>
    <xf numFmtId="0" fontId="49" fillId="2" borderId="9" xfId="0" applyFont="1" applyFill="1" applyBorder="1" applyAlignment="1" applyProtection="1">
      <alignment horizontal="left"/>
      <protection hidden="1"/>
    </xf>
    <xf numFmtId="0" fontId="49" fillId="2" borderId="9" xfId="0" applyFont="1" applyFill="1" applyBorder="1" applyAlignment="1" applyProtection="1">
      <alignment horizontal="right" wrapText="1"/>
      <protection hidden="1"/>
    </xf>
    <xf numFmtId="37" fontId="49" fillId="2" borderId="9" xfId="4" applyNumberFormat="1" applyFont="1" applyFill="1" applyBorder="1" applyProtection="1">
      <protection hidden="1"/>
    </xf>
    <xf numFmtId="0" fontId="0" fillId="0" borderId="37" xfId="0" applyFont="1" applyBorder="1" applyProtection="1">
      <protection hidden="1"/>
    </xf>
    <xf numFmtId="0" fontId="0" fillId="0" borderId="0" xfId="0" applyFont="1" applyAlignment="1">
      <alignment vertical="center"/>
    </xf>
    <xf numFmtId="39" fontId="0" fillId="0" borderId="0" xfId="0" applyNumberFormat="1" applyFont="1" applyFill="1"/>
    <xf numFmtId="8" fontId="0" fillId="0" borderId="0" xfId="0" applyNumberFormat="1" applyFont="1"/>
    <xf numFmtId="39" fontId="0" fillId="0" borderId="0" xfId="0" applyNumberFormat="1" applyFont="1" applyFill="1" applyProtection="1">
      <protection hidden="1"/>
    </xf>
    <xf numFmtId="2" fontId="49" fillId="0" borderId="0" xfId="3" applyNumberFormat="1" applyFont="1" applyProtection="1">
      <protection hidden="1"/>
    </xf>
    <xf numFmtId="0" fontId="38" fillId="0" borderId="0" xfId="0" applyFont="1" applyAlignment="1" applyProtection="1">
      <alignment vertical="center" wrapText="1"/>
      <protection hidden="1"/>
    </xf>
    <xf numFmtId="2" fontId="49" fillId="0" borderId="0" xfId="3" applyNumberFormat="1" applyFont="1" applyBorder="1" applyAlignment="1" applyProtection="1">
      <alignment horizontal="right"/>
      <protection hidden="1"/>
    </xf>
    <xf numFmtId="0" fontId="72" fillId="0" borderId="0" xfId="0" applyFont="1" applyAlignment="1" applyProtection="1">
      <alignment horizontal="left"/>
      <protection hidden="1"/>
    </xf>
    <xf numFmtId="168" fontId="7" fillId="4" borderId="13" xfId="0" applyNumberFormat="1" applyFont="1" applyFill="1" applyBorder="1" applyProtection="1">
      <protection locked="0" hidden="1"/>
    </xf>
    <xf numFmtId="0" fontId="12" fillId="0" borderId="9" xfId="3" applyFont="1" applyBorder="1" applyAlignment="1" applyProtection="1">
      <alignment horizontal="left"/>
      <protection hidden="1"/>
    </xf>
    <xf numFmtId="49" fontId="0" fillId="0" borderId="0" xfId="0" applyNumberFormat="1" applyFont="1" applyBorder="1" applyAlignment="1" applyProtection="1">
      <alignment horizontal="right" indent="1"/>
      <protection hidden="1"/>
    </xf>
    <xf numFmtId="0" fontId="42" fillId="0" borderId="0" xfId="0" applyFont="1" applyFill="1" applyProtection="1">
      <protection locked="0" hidden="1"/>
    </xf>
    <xf numFmtId="167" fontId="65" fillId="2" borderId="0" xfId="0" applyNumberFormat="1" applyFont="1" applyFill="1" applyBorder="1" applyAlignment="1" applyProtection="1">
      <alignment horizontal="right"/>
      <protection locked="0" hidden="1"/>
    </xf>
    <xf numFmtId="0" fontId="42" fillId="0" borderId="0" xfId="0" applyFont="1" applyFill="1" applyBorder="1" applyAlignment="1" applyProtection="1">
      <alignment horizontal="center"/>
      <protection locked="0" hidden="1"/>
    </xf>
    <xf numFmtId="0" fontId="42" fillId="0" borderId="0" xfId="0" applyFont="1" applyFill="1" applyBorder="1" applyProtection="1">
      <protection locked="0" hidden="1"/>
    </xf>
    <xf numFmtId="0" fontId="8" fillId="3" borderId="0" xfId="0" applyFont="1" applyFill="1" applyAlignment="1" applyProtection="1">
      <alignment vertical="center"/>
      <protection locked="0" hidden="1"/>
    </xf>
    <xf numFmtId="0" fontId="7" fillId="0" borderId="6" xfId="0" applyFont="1" applyBorder="1" applyAlignment="1" applyProtection="1">
      <alignment horizontal="right" indent="1"/>
      <protection hidden="1"/>
    </xf>
    <xf numFmtId="0" fontId="5" fillId="0" borderId="11" xfId="0" applyFont="1" applyBorder="1" applyAlignment="1" applyProtection="1">
      <alignment horizontal="left" indent="2"/>
      <protection hidden="1"/>
    </xf>
    <xf numFmtId="0" fontId="5" fillId="0" borderId="68" xfId="0" applyFont="1" applyBorder="1" applyAlignment="1" applyProtection="1">
      <alignment horizontal="right"/>
      <protection hidden="1"/>
    </xf>
    <xf numFmtId="0" fontId="5" fillId="0" borderId="69" xfId="0" applyFont="1" applyBorder="1" applyAlignment="1" applyProtection="1">
      <alignment horizontal="right"/>
      <protection hidden="1"/>
    </xf>
    <xf numFmtId="0" fontId="5" fillId="0" borderId="69" xfId="0" applyFont="1" applyBorder="1" applyProtection="1">
      <protection hidden="1"/>
    </xf>
    <xf numFmtId="0" fontId="75" fillId="3" borderId="34" xfId="0" applyFont="1" applyFill="1" applyBorder="1" applyProtection="1">
      <protection hidden="1"/>
    </xf>
    <xf numFmtId="168" fontId="34" fillId="0" borderId="0" xfId="0" applyNumberFormat="1" applyFont="1" applyFill="1" applyBorder="1" applyAlignment="1" applyProtection="1">
      <alignment horizontal="center" vertical="center"/>
      <protection locked="0"/>
    </xf>
    <xf numFmtId="168" fontId="7" fillId="44" borderId="50" xfId="0" applyNumberFormat="1" applyFont="1" applyFill="1" applyBorder="1" applyAlignment="1" applyProtection="1">
      <alignment horizontal="center" vertical="center"/>
      <protection locked="0"/>
    </xf>
    <xf numFmtId="39" fontId="0" fillId="4" borderId="78" xfId="0" applyNumberFormat="1" applyFont="1" applyFill="1" applyBorder="1" applyProtection="1">
      <protection hidden="1"/>
    </xf>
    <xf numFmtId="39" fontId="0" fillId="4" borderId="81" xfId="0" applyNumberFormat="1" applyFont="1" applyFill="1" applyBorder="1" applyProtection="1">
      <protection hidden="1"/>
    </xf>
    <xf numFmtId="8" fontId="0" fillId="4" borderId="77" xfId="0" applyNumberFormat="1" applyFont="1" applyFill="1" applyBorder="1" applyProtection="1">
      <protection hidden="1"/>
    </xf>
    <xf numFmtId="8" fontId="0" fillId="4" borderId="80" xfId="0" applyNumberFormat="1" applyFont="1" applyFill="1" applyBorder="1" applyProtection="1">
      <protection hidden="1"/>
    </xf>
    <xf numFmtId="39" fontId="0" fillId="45" borderId="89" xfId="0" applyNumberFormat="1" applyFont="1" applyFill="1" applyBorder="1" applyProtection="1">
      <protection hidden="1"/>
    </xf>
    <xf numFmtId="8" fontId="71" fillId="45" borderId="90" xfId="0" applyNumberFormat="1" applyFont="1" applyFill="1" applyBorder="1" applyAlignment="1" applyProtection="1">
      <alignment horizontal="right" vertical="center"/>
      <protection hidden="1"/>
    </xf>
    <xf numFmtId="39" fontId="0" fillId="45" borderId="91" xfId="0" applyNumberFormat="1" applyFont="1" applyFill="1" applyBorder="1" applyProtection="1">
      <protection hidden="1"/>
    </xf>
    <xf numFmtId="39" fontId="0" fillId="45" borderId="83" xfId="0" applyNumberFormat="1" applyFont="1" applyFill="1" applyBorder="1" applyProtection="1">
      <protection hidden="1"/>
    </xf>
    <xf numFmtId="8" fontId="71" fillId="45" borderId="84" xfId="0" applyNumberFormat="1" applyFont="1" applyFill="1" applyBorder="1" applyAlignment="1" applyProtection="1">
      <alignment horizontal="right" vertical="center"/>
      <protection hidden="1"/>
    </xf>
    <xf numFmtId="39" fontId="0" fillId="45" borderId="85" xfId="0" applyNumberFormat="1" applyFont="1" applyFill="1" applyBorder="1" applyProtection="1">
      <protection hidden="1"/>
    </xf>
    <xf numFmtId="39" fontId="0" fillId="45" borderId="86" xfId="0" applyNumberFormat="1" applyFont="1" applyFill="1" applyBorder="1" applyProtection="1">
      <protection hidden="1"/>
    </xf>
    <xf numFmtId="8" fontId="71" fillId="45" borderId="87" xfId="0" applyNumberFormat="1" applyFont="1" applyFill="1" applyBorder="1" applyAlignment="1" applyProtection="1">
      <alignment horizontal="right" vertical="center"/>
      <protection hidden="1"/>
    </xf>
    <xf numFmtId="39" fontId="0" fillId="45" borderId="88" xfId="0" applyNumberFormat="1" applyFont="1" applyFill="1" applyBorder="1" applyProtection="1">
      <protection hidden="1"/>
    </xf>
    <xf numFmtId="0" fontId="0" fillId="4" borderId="92" xfId="0" applyFont="1" applyFill="1" applyBorder="1"/>
    <xf numFmtId="0" fontId="0" fillId="4" borderId="72" xfId="0" applyFont="1" applyFill="1" applyBorder="1"/>
    <xf numFmtId="0" fontId="0" fillId="4" borderId="94" xfId="0" applyFont="1" applyFill="1" applyBorder="1"/>
    <xf numFmtId="0" fontId="0" fillId="4" borderId="95" xfId="0" applyFont="1" applyFill="1" applyBorder="1"/>
    <xf numFmtId="0" fontId="0" fillId="0" borderId="0" xfId="0" applyFont="1" applyAlignment="1" applyProtection="1">
      <alignment horizontal="center"/>
      <protection hidden="1"/>
    </xf>
    <xf numFmtId="0" fontId="0" fillId="45" borderId="99" xfId="0" applyFont="1" applyFill="1" applyBorder="1" applyAlignment="1" applyProtection="1">
      <alignment horizontal="center"/>
      <protection hidden="1"/>
    </xf>
    <xf numFmtId="0" fontId="0" fillId="45" borderId="97" xfId="0" applyFont="1" applyFill="1" applyBorder="1" applyAlignment="1" applyProtection="1">
      <alignment horizontal="center"/>
      <protection hidden="1"/>
    </xf>
    <xf numFmtId="0" fontId="0" fillId="45" borderId="97" xfId="0" applyFont="1" applyFill="1" applyBorder="1" applyAlignment="1" applyProtection="1">
      <alignment horizontal="center" vertical="top" wrapText="1"/>
      <protection hidden="1"/>
    </xf>
    <xf numFmtId="0" fontId="0" fillId="45" borderId="98" xfId="0" applyFont="1" applyFill="1" applyBorder="1" applyAlignment="1" applyProtection="1">
      <alignment horizontal="center"/>
      <protection hidden="1"/>
    </xf>
    <xf numFmtId="0" fontId="0" fillId="48" borderId="97" xfId="0" applyFont="1" applyFill="1" applyBorder="1" applyProtection="1">
      <protection hidden="1"/>
    </xf>
    <xf numFmtId="0" fontId="0" fillId="48" borderId="98" xfId="0" applyFont="1" applyFill="1" applyBorder="1" applyProtection="1">
      <protection hidden="1"/>
    </xf>
    <xf numFmtId="0" fontId="44" fillId="47" borderId="100" xfId="0" applyFont="1" applyFill="1" applyBorder="1" applyAlignment="1" applyProtection="1">
      <alignment horizontal="center" wrapText="1"/>
      <protection hidden="1"/>
    </xf>
    <xf numFmtId="0" fontId="0" fillId="48" borderId="99" xfId="0" applyFont="1" applyFill="1" applyBorder="1" applyProtection="1">
      <protection hidden="1"/>
    </xf>
    <xf numFmtId="0" fontId="67" fillId="40" borderId="100" xfId="0" applyFont="1" applyFill="1" applyBorder="1" applyAlignment="1" applyProtection="1">
      <alignment horizontal="center" wrapText="1"/>
      <protection hidden="1"/>
    </xf>
    <xf numFmtId="0" fontId="0" fillId="49" borderId="42" xfId="0" applyFont="1" applyFill="1" applyBorder="1"/>
    <xf numFmtId="0" fontId="0" fillId="49" borderId="8" xfId="0" applyFont="1" applyFill="1" applyBorder="1"/>
    <xf numFmtId="0" fontId="0" fillId="49" borderId="32" xfId="0" applyFont="1" applyFill="1" applyBorder="1"/>
    <xf numFmtId="0" fontId="0" fillId="49" borderId="16" xfId="0" applyFont="1" applyFill="1" applyBorder="1"/>
    <xf numFmtId="0" fontId="44" fillId="4" borderId="102" xfId="0" applyFont="1" applyFill="1" applyBorder="1" applyAlignment="1">
      <alignment vertical="top"/>
    </xf>
    <xf numFmtId="0" fontId="44" fillId="4" borderId="102" xfId="0" applyFont="1" applyFill="1" applyBorder="1" applyAlignment="1">
      <alignment horizontal="center" vertical="top" wrapText="1"/>
    </xf>
    <xf numFmtId="0" fontId="44" fillId="4" borderId="103" xfId="0" applyFont="1" applyFill="1" applyBorder="1" applyAlignment="1">
      <alignment horizontal="center" vertical="top" wrapText="1"/>
    </xf>
    <xf numFmtId="8" fontId="0" fillId="4" borderId="109" xfId="0" applyNumberFormat="1" applyFont="1" applyFill="1" applyBorder="1" applyProtection="1">
      <protection hidden="1"/>
    </xf>
    <xf numFmtId="39" fontId="0" fillId="4" borderId="110" xfId="0" applyNumberFormat="1" applyFont="1" applyFill="1" applyBorder="1" applyProtection="1">
      <protection hidden="1"/>
    </xf>
    <xf numFmtId="39" fontId="44" fillId="4" borderId="27" xfId="0" applyNumberFormat="1" applyFont="1" applyFill="1" applyBorder="1" applyAlignment="1" applyProtection="1">
      <alignment horizontal="center" wrapText="1"/>
      <protection hidden="1"/>
    </xf>
    <xf numFmtId="39" fontId="44" fillId="4" borderId="28" xfId="0" applyNumberFormat="1" applyFont="1" applyFill="1" applyBorder="1" applyAlignment="1" applyProtection="1">
      <alignment horizontal="center" wrapText="1"/>
      <protection hidden="1"/>
    </xf>
    <xf numFmtId="0" fontId="77" fillId="0" borderId="0" xfId="0" applyFont="1" applyAlignment="1">
      <alignment vertical="top" wrapText="1"/>
    </xf>
    <xf numFmtId="0" fontId="77" fillId="0" borderId="0" xfId="0" applyFont="1"/>
    <xf numFmtId="0" fontId="77" fillId="0" borderId="13" xfId="0" applyFont="1" applyBorder="1" applyAlignment="1" applyProtection="1">
      <alignment vertical="top" wrapText="1"/>
      <protection hidden="1"/>
    </xf>
    <xf numFmtId="0" fontId="77" fillId="0" borderId="13" xfId="0" applyFont="1" applyBorder="1" applyAlignment="1">
      <alignment vertical="top" wrapText="1"/>
    </xf>
    <xf numFmtId="0" fontId="77" fillId="0" borderId="13" xfId="0" applyFont="1" applyBorder="1" applyAlignment="1" applyProtection="1">
      <alignment horizontal="left" vertical="center"/>
      <protection hidden="1"/>
    </xf>
    <xf numFmtId="0" fontId="77" fillId="0" borderId="13" xfId="0" applyFont="1" applyBorder="1" applyProtection="1">
      <protection hidden="1"/>
    </xf>
    <xf numFmtId="168" fontId="77" fillId="0" borderId="13" xfId="0" applyNumberFormat="1" applyFont="1" applyBorder="1" applyProtection="1">
      <protection hidden="1"/>
    </xf>
    <xf numFmtId="8" fontId="77" fillId="0" borderId="13" xfId="0" applyNumberFormat="1" applyFont="1" applyBorder="1" applyProtection="1">
      <protection hidden="1"/>
    </xf>
    <xf numFmtId="169" fontId="77" fillId="0" borderId="13" xfId="0" applyNumberFormat="1" applyFont="1" applyBorder="1" applyProtection="1">
      <protection hidden="1"/>
    </xf>
    <xf numFmtId="2" fontId="77" fillId="0" borderId="13" xfId="0" applyNumberFormat="1" applyFont="1" applyBorder="1" applyProtection="1">
      <protection hidden="1"/>
    </xf>
    <xf numFmtId="14" fontId="77" fillId="0" borderId="13" xfId="0" applyNumberFormat="1" applyFont="1" applyBorder="1" applyProtection="1">
      <protection hidden="1"/>
    </xf>
    <xf numFmtId="166" fontId="77" fillId="0" borderId="13" xfId="0" applyNumberFormat="1" applyFont="1" applyBorder="1" applyProtection="1">
      <protection hidden="1"/>
    </xf>
    <xf numFmtId="3" fontId="77" fillId="0" borderId="13" xfId="0" applyNumberFormat="1" applyFont="1" applyBorder="1" applyProtection="1">
      <protection hidden="1"/>
    </xf>
    <xf numFmtId="49" fontId="77" fillId="0" borderId="13" xfId="0" applyNumberFormat="1" applyFont="1" applyBorder="1" applyProtection="1">
      <protection hidden="1"/>
    </xf>
    <xf numFmtId="0" fontId="77" fillId="0" borderId="13" xfId="0" applyNumberFormat="1" applyFont="1" applyBorder="1" applyProtection="1">
      <protection hidden="1"/>
    </xf>
    <xf numFmtId="0" fontId="36" fillId="50" borderId="0" xfId="0" applyFont="1" applyFill="1" applyAlignment="1" applyProtection="1">
      <alignment vertical="top" wrapText="1"/>
      <protection hidden="1"/>
    </xf>
    <xf numFmtId="0" fontId="36" fillId="50" borderId="0" xfId="0" applyFont="1" applyFill="1" applyAlignment="1" applyProtection="1">
      <alignment vertical="top"/>
      <protection hidden="1"/>
    </xf>
    <xf numFmtId="0" fontId="36" fillId="50" borderId="0" xfId="0" applyFont="1" applyFill="1" applyProtection="1">
      <protection hidden="1"/>
    </xf>
    <xf numFmtId="0" fontId="36" fillId="50" borderId="0" xfId="0" applyFont="1" applyFill="1" applyAlignment="1" applyProtection="1">
      <alignment horizontal="center"/>
      <protection hidden="1"/>
    </xf>
    <xf numFmtId="0" fontId="36" fillId="50" borderId="0" xfId="0" applyFont="1" applyFill="1" applyAlignment="1" applyProtection="1">
      <alignment vertical="center"/>
      <protection hidden="1"/>
    </xf>
    <xf numFmtId="0" fontId="18" fillId="50" borderId="0" xfId="0" applyFont="1" applyFill="1" applyAlignment="1" applyProtection="1">
      <alignment vertical="center"/>
      <protection hidden="1"/>
    </xf>
    <xf numFmtId="0" fontId="36" fillId="50" borderId="0" xfId="0" applyFont="1" applyFill="1" applyAlignment="1" applyProtection="1">
      <protection hidden="1"/>
    </xf>
    <xf numFmtId="0" fontId="36" fillId="50" borderId="0" xfId="0" applyFont="1" applyFill="1" applyBorder="1" applyAlignment="1" applyProtection="1">
      <alignment vertical="center"/>
      <protection hidden="1"/>
    </xf>
    <xf numFmtId="0" fontId="48" fillId="50" borderId="0" xfId="0" applyFont="1" applyFill="1"/>
    <xf numFmtId="0" fontId="48" fillId="50" borderId="0" xfId="0" applyFont="1" applyFill="1" applyAlignment="1">
      <alignment vertical="top"/>
    </xf>
    <xf numFmtId="3" fontId="7" fillId="51" borderId="0" xfId="0" applyNumberFormat="1" applyFont="1" applyFill="1" applyBorder="1" applyProtection="1">
      <protection hidden="1"/>
    </xf>
    <xf numFmtId="3" fontId="18" fillId="51" borderId="0" xfId="0" applyNumberFormat="1" applyFont="1" applyFill="1" applyBorder="1" applyProtection="1">
      <protection hidden="1"/>
    </xf>
    <xf numFmtId="0" fontId="78" fillId="2" borderId="0" xfId="0" applyFont="1" applyFill="1" applyAlignment="1" applyProtection="1">
      <alignment horizontal="left" vertical="top" wrapText="1"/>
      <protection hidden="1"/>
    </xf>
    <xf numFmtId="8" fontId="7" fillId="0" borderId="0" xfId="0" applyNumberFormat="1" applyFont="1" applyFill="1" applyBorder="1" applyProtection="1">
      <protection hidden="1"/>
    </xf>
    <xf numFmtId="0" fontId="42" fillId="0" borderId="0" xfId="0" applyFont="1" applyAlignment="1" applyProtection="1">
      <alignment vertical="top" wrapText="1"/>
      <protection locked="0" hidden="1"/>
    </xf>
    <xf numFmtId="0" fontId="14" fillId="0" borderId="0" xfId="0" applyFont="1" applyFill="1" applyAlignment="1" applyProtection="1">
      <alignment vertical="top" wrapText="1"/>
      <protection hidden="1"/>
    </xf>
    <xf numFmtId="0" fontId="8" fillId="0" borderId="0" xfId="0" applyFont="1" applyAlignment="1" applyProtection="1">
      <alignment vertical="top" wrapText="1"/>
      <protection hidden="1"/>
    </xf>
    <xf numFmtId="0" fontId="8" fillId="0" borderId="0" xfId="0" applyFont="1" applyFill="1" applyAlignment="1" applyProtection="1">
      <alignment vertical="top" wrapText="1"/>
      <protection hidden="1"/>
    </xf>
    <xf numFmtId="39" fontId="44" fillId="4" borderId="28" xfId="0" applyNumberFormat="1" applyFont="1" applyFill="1" applyBorder="1" applyAlignment="1" applyProtection="1">
      <alignment horizontal="center" vertical="top" wrapText="1"/>
      <protection hidden="1"/>
    </xf>
    <xf numFmtId="8" fontId="44" fillId="4" borderId="28" xfId="0" applyNumberFormat="1" applyFont="1" applyFill="1" applyBorder="1" applyAlignment="1" applyProtection="1">
      <alignment horizontal="center" vertical="top" wrapText="1"/>
      <protection hidden="1"/>
    </xf>
    <xf numFmtId="8" fontId="0" fillId="4" borderId="110" xfId="0" applyNumberFormat="1" applyFont="1" applyFill="1" applyBorder="1" applyProtection="1">
      <protection hidden="1"/>
    </xf>
    <xf numFmtId="8" fontId="0" fillId="4" borderId="78" xfId="0" applyNumberFormat="1" applyFont="1" applyFill="1" applyBorder="1" applyProtection="1">
      <protection hidden="1"/>
    </xf>
    <xf numFmtId="8" fontId="0" fillId="4" borderId="81" xfId="0" applyNumberFormat="1" applyFont="1" applyFill="1" applyBorder="1" applyProtection="1">
      <protection hidden="1"/>
    </xf>
    <xf numFmtId="8" fontId="0" fillId="0" borderId="0" xfId="0" applyNumberFormat="1" applyFont="1" applyFill="1" applyProtection="1">
      <protection hidden="1"/>
    </xf>
    <xf numFmtId="8" fontId="0" fillId="0" borderId="0" xfId="0" applyNumberFormat="1" applyFont="1" applyProtection="1">
      <protection hidden="1"/>
    </xf>
    <xf numFmtId="39" fontId="44" fillId="4" borderId="104" xfId="0" applyNumberFormat="1" applyFont="1" applyFill="1" applyBorder="1" applyAlignment="1" applyProtection="1">
      <alignment horizontal="center" vertical="top" wrapText="1"/>
      <protection hidden="1"/>
    </xf>
    <xf numFmtId="8" fontId="71" fillId="4" borderId="111" xfId="0" applyNumberFormat="1" applyFont="1" applyFill="1" applyBorder="1" applyAlignment="1" applyProtection="1">
      <alignment horizontal="right" vertical="center"/>
      <protection hidden="1"/>
    </xf>
    <xf numFmtId="8" fontId="71" fillId="4" borderId="78" xfId="0" applyNumberFormat="1" applyFont="1" applyFill="1" applyBorder="1" applyAlignment="1" applyProtection="1">
      <alignment horizontal="right" vertical="center"/>
      <protection hidden="1"/>
    </xf>
    <xf numFmtId="8" fontId="71" fillId="4" borderId="81" xfId="0" applyNumberFormat="1" applyFont="1" applyFill="1" applyBorder="1" applyAlignment="1" applyProtection="1">
      <alignment horizontal="right" vertical="center"/>
      <protection hidden="1"/>
    </xf>
    <xf numFmtId="6" fontId="71" fillId="4" borderId="112" xfId="0" applyNumberFormat="1" applyFont="1" applyFill="1" applyBorder="1" applyAlignment="1" applyProtection="1">
      <alignment horizontal="right" vertical="center"/>
      <protection hidden="1"/>
    </xf>
    <xf numFmtId="6" fontId="71" fillId="4" borderId="79" xfId="0" applyNumberFormat="1" applyFont="1" applyFill="1" applyBorder="1" applyAlignment="1" applyProtection="1">
      <alignment horizontal="right" vertical="center"/>
      <protection hidden="1"/>
    </xf>
    <xf numFmtId="6" fontId="71" fillId="4" borderId="82" xfId="0" applyNumberFormat="1" applyFont="1" applyFill="1" applyBorder="1" applyAlignment="1" applyProtection="1">
      <alignment horizontal="right" vertical="center"/>
      <protection hidden="1"/>
    </xf>
    <xf numFmtId="8" fontId="71" fillId="4" borderId="72" xfId="0" applyNumberFormat="1" applyFont="1" applyFill="1" applyBorder="1" applyAlignment="1">
      <alignment horizontal="right" vertical="center"/>
    </xf>
    <xf numFmtId="8" fontId="71" fillId="4" borderId="93" xfId="0" applyNumberFormat="1" applyFont="1" applyFill="1" applyBorder="1" applyAlignment="1">
      <alignment horizontal="right" vertical="center"/>
    </xf>
    <xf numFmtId="8" fontId="71" fillId="4" borderId="95" xfId="0" applyNumberFormat="1" applyFont="1" applyFill="1" applyBorder="1" applyAlignment="1">
      <alignment horizontal="right" vertical="center"/>
    </xf>
    <xf numFmtId="8" fontId="71" fillId="4" borderId="96" xfId="0" applyNumberFormat="1" applyFont="1" applyFill="1" applyBorder="1" applyAlignment="1">
      <alignment horizontal="right" vertical="center"/>
    </xf>
    <xf numFmtId="8" fontId="71" fillId="49" borderId="105" xfId="0" applyNumberFormat="1" applyFont="1" applyFill="1" applyBorder="1" applyAlignment="1">
      <alignment horizontal="right" vertical="center"/>
    </xf>
    <xf numFmtId="8" fontId="71" fillId="49" borderId="51" xfId="0" applyNumberFormat="1" applyFont="1" applyFill="1" applyBorder="1" applyAlignment="1">
      <alignment horizontal="right" vertical="center"/>
    </xf>
    <xf numFmtId="0" fontId="44" fillId="4" borderId="101" xfId="0" applyFont="1" applyFill="1" applyBorder="1" applyAlignment="1">
      <alignment vertical="top" wrapText="1"/>
    </xf>
    <xf numFmtId="0" fontId="0" fillId="0" borderId="0" xfId="0" applyFont="1"/>
    <xf numFmtId="1" fontId="77" fillId="0" borderId="13" xfId="0" applyNumberFormat="1" applyFont="1" applyBorder="1" applyAlignment="1" applyProtection="1">
      <alignment horizontal="left" vertical="center"/>
      <protection hidden="1"/>
    </xf>
    <xf numFmtId="4" fontId="77" fillId="0" borderId="13" xfId="0" applyNumberFormat="1" applyFont="1" applyBorder="1" applyProtection="1">
      <protection hidden="1"/>
    </xf>
    <xf numFmtId="0" fontId="23" fillId="0" borderId="0" xfId="0" applyFont="1" applyFill="1" applyBorder="1" applyProtection="1">
      <protection hidden="1"/>
    </xf>
    <xf numFmtId="6" fontId="7" fillId="4" borderId="13" xfId="0" applyNumberFormat="1" applyFont="1" applyFill="1" applyBorder="1" applyProtection="1">
      <protection locked="0" hidden="1"/>
    </xf>
    <xf numFmtId="0" fontId="18" fillId="0" borderId="9" xfId="3" applyFont="1" applyBorder="1" applyAlignment="1" applyProtection="1">
      <protection hidden="1"/>
    </xf>
    <xf numFmtId="0" fontId="2" fillId="0" borderId="35" xfId="0" applyFont="1" applyFill="1" applyBorder="1" applyAlignment="1" applyProtection="1">
      <alignment horizontal="right" vertical="center"/>
      <protection hidden="1"/>
    </xf>
    <xf numFmtId="0" fontId="24" fillId="2" borderId="0" xfId="0" applyNumberFormat="1" applyFont="1" applyFill="1" applyBorder="1" applyAlignment="1" applyProtection="1">
      <alignment horizontal="right" vertical="center" indent="1"/>
      <protection hidden="1"/>
    </xf>
    <xf numFmtId="0" fontId="42" fillId="0" borderId="0" xfId="0" applyFont="1" applyFill="1" applyBorder="1" applyProtection="1">
      <protection hidden="1"/>
    </xf>
    <xf numFmtId="0" fontId="77" fillId="0" borderId="71" xfId="0" applyFont="1" applyBorder="1" applyAlignment="1" applyProtection="1">
      <alignment horizontal="right"/>
      <protection hidden="1"/>
    </xf>
    <xf numFmtId="0" fontId="77" fillId="0" borderId="72" xfId="0" applyFont="1" applyBorder="1" applyAlignment="1" applyProtection="1">
      <alignment horizontal="right"/>
      <protection hidden="1"/>
    </xf>
    <xf numFmtId="0" fontId="77" fillId="0" borderId="72" xfId="0" applyFont="1" applyBorder="1" applyProtection="1">
      <protection hidden="1"/>
    </xf>
    <xf numFmtId="166" fontId="77" fillId="0" borderId="72" xfId="0" applyNumberFormat="1" applyFont="1" applyBorder="1" applyAlignment="1" applyProtection="1">
      <alignment horizontal="right"/>
      <protection hidden="1"/>
    </xf>
    <xf numFmtId="0" fontId="82" fillId="0" borderId="0" xfId="0" applyFont="1" applyAlignment="1" applyProtection="1">
      <alignment horizontal="left"/>
      <protection hidden="1"/>
    </xf>
    <xf numFmtId="0" fontId="77" fillId="3" borderId="71" xfId="0" applyFont="1" applyFill="1" applyBorder="1" applyAlignment="1" applyProtection="1">
      <alignment horizontal="right"/>
      <protection hidden="1"/>
    </xf>
    <xf numFmtId="0" fontId="77" fillId="3" borderId="72" xfId="0" applyFont="1" applyFill="1" applyBorder="1" applyAlignment="1" applyProtection="1">
      <alignment horizontal="right"/>
      <protection hidden="1"/>
    </xf>
    <xf numFmtId="0" fontId="77" fillId="3" borderId="72" xfId="0" applyFont="1" applyFill="1" applyBorder="1" applyProtection="1">
      <protection hidden="1"/>
    </xf>
    <xf numFmtId="49" fontId="77" fillId="0" borderId="72" xfId="0" applyNumberFormat="1" applyFont="1" applyBorder="1" applyAlignment="1" applyProtection="1">
      <alignment horizontal="right"/>
      <protection hidden="1"/>
    </xf>
    <xf numFmtId="166" fontId="82" fillId="0" borderId="0" xfId="0" applyNumberFormat="1" applyFont="1" applyAlignment="1" applyProtection="1">
      <alignment horizontal="left"/>
      <protection hidden="1"/>
    </xf>
    <xf numFmtId="0" fontId="77" fillId="5" borderId="71" xfId="0" applyFont="1" applyFill="1" applyBorder="1" applyAlignment="1" applyProtection="1">
      <alignment horizontal="right"/>
      <protection hidden="1"/>
    </xf>
    <xf numFmtId="0" fontId="77" fillId="5" borderId="72" xfId="0" applyFont="1" applyFill="1" applyBorder="1" applyAlignment="1" applyProtection="1">
      <alignment horizontal="right"/>
      <protection hidden="1"/>
    </xf>
    <xf numFmtId="0" fontId="77" fillId="5" borderId="72" xfId="0" applyFont="1" applyFill="1" applyBorder="1" applyProtection="1">
      <protection hidden="1"/>
    </xf>
    <xf numFmtId="0" fontId="77" fillId="40" borderId="71" xfId="0" applyFont="1" applyFill="1" applyBorder="1" applyAlignment="1" applyProtection="1">
      <alignment horizontal="right"/>
      <protection hidden="1"/>
    </xf>
    <xf numFmtId="0" fontId="77" fillId="40" borderId="72" xfId="0" applyFont="1" applyFill="1" applyBorder="1" applyAlignment="1" applyProtection="1">
      <alignment horizontal="right"/>
      <protection hidden="1"/>
    </xf>
    <xf numFmtId="0" fontId="77" fillId="40" borderId="72" xfId="0" applyFont="1" applyFill="1" applyBorder="1" applyProtection="1">
      <protection hidden="1"/>
    </xf>
    <xf numFmtId="0" fontId="77" fillId="39" borderId="71" xfId="0" applyFont="1" applyFill="1" applyBorder="1" applyAlignment="1" applyProtection="1">
      <alignment horizontal="right"/>
      <protection hidden="1"/>
    </xf>
    <xf numFmtId="0" fontId="77" fillId="39" borderId="72" xfId="0" applyFont="1" applyFill="1" applyBorder="1" applyAlignment="1" applyProtection="1">
      <alignment horizontal="right"/>
      <protection hidden="1"/>
    </xf>
    <xf numFmtId="0" fontId="77" fillId="39" borderId="72" xfId="0" applyFont="1" applyFill="1" applyBorder="1" applyProtection="1">
      <protection hidden="1"/>
    </xf>
    <xf numFmtId="0" fontId="77" fillId="41" borderId="71" xfId="0" applyFont="1" applyFill="1" applyBorder="1" applyAlignment="1" applyProtection="1">
      <alignment horizontal="right"/>
      <protection hidden="1"/>
    </xf>
    <xf numFmtId="0" fontId="77" fillId="41" borderId="72" xfId="0" applyFont="1" applyFill="1" applyBorder="1" applyAlignment="1" applyProtection="1">
      <alignment horizontal="right"/>
      <protection hidden="1"/>
    </xf>
    <xf numFmtId="0" fontId="77" fillId="41" borderId="72" xfId="0" applyFont="1" applyFill="1" applyBorder="1" applyProtection="1">
      <protection hidden="1"/>
    </xf>
    <xf numFmtId="0" fontId="77" fillId="42" borderId="71" xfId="0" applyFont="1" applyFill="1" applyBorder="1" applyAlignment="1" applyProtection="1">
      <alignment horizontal="right"/>
      <protection hidden="1"/>
    </xf>
    <xf numFmtId="0" fontId="77" fillId="42" borderId="72" xfId="0" applyFont="1" applyFill="1" applyBorder="1" applyAlignment="1" applyProtection="1">
      <alignment horizontal="right"/>
      <protection hidden="1"/>
    </xf>
    <xf numFmtId="0" fontId="77" fillId="42" borderId="72" xfId="0" applyFont="1" applyFill="1" applyBorder="1" applyProtection="1">
      <protection hidden="1"/>
    </xf>
    <xf numFmtId="0" fontId="77" fillId="42" borderId="74" xfId="0" applyFont="1" applyFill="1" applyBorder="1" applyAlignment="1" applyProtection="1">
      <alignment horizontal="right"/>
      <protection hidden="1"/>
    </xf>
    <xf numFmtId="0" fontId="77" fillId="42" borderId="75" xfId="0" applyFont="1" applyFill="1" applyBorder="1" applyAlignment="1" applyProtection="1">
      <alignment horizontal="right"/>
      <protection hidden="1"/>
    </xf>
    <xf numFmtId="0" fontId="77" fillId="42" borderId="75" xfId="0" applyFont="1" applyFill="1" applyBorder="1" applyProtection="1">
      <protection hidden="1"/>
    </xf>
    <xf numFmtId="49" fontId="77" fillId="0" borderId="75" xfId="0" applyNumberFormat="1" applyFont="1" applyBorder="1" applyAlignment="1" applyProtection="1">
      <alignment horizontal="right"/>
      <protection hidden="1"/>
    </xf>
    <xf numFmtId="0" fontId="83" fillId="0" borderId="0" xfId="0" applyFont="1" applyAlignment="1" applyProtection="1">
      <alignment horizontal="left"/>
      <protection hidden="1"/>
    </xf>
    <xf numFmtId="171" fontId="77" fillId="0" borderId="13" xfId="0" applyNumberFormat="1" applyFont="1" applyBorder="1" applyProtection="1">
      <protection hidden="1"/>
    </xf>
    <xf numFmtId="172" fontId="77" fillId="0" borderId="13" xfId="0" applyNumberFormat="1" applyFont="1" applyBorder="1" applyProtection="1">
      <protection hidden="1"/>
    </xf>
    <xf numFmtId="40" fontId="77" fillId="0" borderId="13" xfId="0" applyNumberFormat="1" applyFont="1" applyBorder="1" applyProtection="1">
      <protection hidden="1"/>
    </xf>
    <xf numFmtId="3" fontId="8" fillId="0" borderId="0" xfId="0" applyNumberFormat="1" applyFont="1" applyProtection="1">
      <protection hidden="1"/>
    </xf>
    <xf numFmtId="0" fontId="8" fillId="0" borderId="0" xfId="0" applyNumberFormat="1" applyFont="1" applyProtection="1">
      <protection hidden="1"/>
    </xf>
    <xf numFmtId="0" fontId="77" fillId="0" borderId="13" xfId="0" applyFont="1" applyBorder="1"/>
    <xf numFmtId="0" fontId="77" fillId="0" borderId="0" xfId="0" applyFont="1" applyAlignment="1" applyProtection="1">
      <alignment vertical="top"/>
      <protection hidden="1"/>
    </xf>
    <xf numFmtId="0" fontId="69" fillId="0" borderId="0" xfId="0" applyFont="1" applyBorder="1" applyAlignment="1" applyProtection="1">
      <alignment horizontal="center"/>
      <protection hidden="1"/>
    </xf>
    <xf numFmtId="0" fontId="38" fillId="2" borderId="0" xfId="0" applyFont="1" applyFill="1" applyBorder="1" applyAlignment="1" applyProtection="1">
      <alignment horizontal="left" vertical="top" wrapText="1"/>
      <protection hidden="1"/>
    </xf>
    <xf numFmtId="0" fontId="16" fillId="2" borderId="0" xfId="0" applyFont="1" applyFill="1" applyBorder="1" applyAlignment="1" applyProtection="1">
      <alignment horizontal="left" vertical="top" wrapText="1"/>
      <protection hidden="1"/>
    </xf>
    <xf numFmtId="0" fontId="16" fillId="2" borderId="19" xfId="0" applyFont="1" applyFill="1" applyBorder="1" applyAlignment="1" applyProtection="1">
      <alignment horizontal="left" vertical="top" wrapText="1"/>
      <protection hidden="1"/>
    </xf>
    <xf numFmtId="0" fontId="41" fillId="0" borderId="0" xfId="0" applyFont="1" applyFill="1" applyBorder="1" applyAlignment="1" applyProtection="1">
      <alignment horizontal="left" vertical="top" wrapText="1"/>
      <protection hidden="1"/>
    </xf>
    <xf numFmtId="0" fontId="38" fillId="0" borderId="0" xfId="0" applyFont="1" applyFill="1" applyBorder="1" applyAlignment="1">
      <alignment horizontal="left" vertical="top" wrapText="1"/>
    </xf>
    <xf numFmtId="0" fontId="38" fillId="0" borderId="19" xfId="0" applyFont="1" applyFill="1" applyBorder="1" applyAlignment="1">
      <alignment horizontal="left" vertical="top" wrapText="1"/>
    </xf>
    <xf numFmtId="0" fontId="38" fillId="2" borderId="9" xfId="0" applyFont="1" applyFill="1" applyBorder="1" applyAlignment="1" applyProtection="1">
      <alignment horizontal="left" vertical="top" wrapText="1"/>
      <protection hidden="1"/>
    </xf>
    <xf numFmtId="0" fontId="38" fillId="2" borderId="21" xfId="0" applyFont="1" applyFill="1" applyBorder="1" applyAlignment="1" applyProtection="1">
      <alignment horizontal="left" vertical="top" wrapText="1"/>
      <protection hidden="1"/>
    </xf>
    <xf numFmtId="0" fontId="16" fillId="2" borderId="0" xfId="0" applyFont="1" applyFill="1" applyAlignment="1" applyProtection="1">
      <alignment horizontal="center" vertical="center"/>
      <protection hidden="1"/>
    </xf>
    <xf numFmtId="0" fontId="38" fillId="2" borderId="7" xfId="0" applyFont="1" applyFill="1" applyBorder="1" applyAlignment="1" applyProtection="1">
      <alignment horizontal="left" vertical="top" wrapText="1"/>
      <protection hidden="1"/>
    </xf>
    <xf numFmtId="0" fontId="38" fillId="2" borderId="10" xfId="0" applyFont="1" applyFill="1" applyBorder="1" applyAlignment="1" applyProtection="1">
      <alignment horizontal="left" vertical="top" wrapText="1"/>
      <protection hidden="1"/>
    </xf>
    <xf numFmtId="49" fontId="38" fillId="2" borderId="0" xfId="0" applyNumberFormat="1" applyFont="1" applyFill="1" applyBorder="1" applyAlignment="1" applyProtection="1">
      <alignment horizontal="left" vertical="top" wrapText="1"/>
      <protection hidden="1"/>
    </xf>
    <xf numFmtId="49" fontId="38" fillId="2" borderId="19" xfId="0" applyNumberFormat="1" applyFont="1" applyFill="1" applyBorder="1" applyAlignment="1" applyProtection="1">
      <alignment horizontal="left" vertical="top" wrapText="1"/>
      <protection hidden="1"/>
    </xf>
    <xf numFmtId="49" fontId="38" fillId="0" borderId="7" xfId="0" applyNumberFormat="1" applyFont="1" applyFill="1" applyBorder="1" applyAlignment="1" applyProtection="1">
      <alignment horizontal="left" vertical="top" wrapText="1"/>
      <protection hidden="1"/>
    </xf>
    <xf numFmtId="49" fontId="38" fillId="0" borderId="10" xfId="0" applyNumberFormat="1" applyFont="1" applyFill="1" applyBorder="1" applyAlignment="1" applyProtection="1">
      <alignment horizontal="left" vertical="top" wrapText="1"/>
      <protection hidden="1"/>
    </xf>
    <xf numFmtId="0" fontId="38" fillId="2" borderId="19" xfId="0" applyFont="1" applyFill="1" applyBorder="1" applyAlignment="1" applyProtection="1">
      <alignment horizontal="left" vertical="top" wrapText="1"/>
      <protection hidden="1"/>
    </xf>
    <xf numFmtId="0" fontId="41" fillId="2" borderId="7" xfId="0" applyFont="1" applyFill="1" applyBorder="1" applyAlignment="1" applyProtection="1">
      <alignment horizontal="left" vertical="top" wrapText="1"/>
      <protection hidden="1"/>
    </xf>
    <xf numFmtId="0" fontId="41" fillId="2" borderId="10" xfId="0" applyFont="1" applyFill="1" applyBorder="1" applyAlignment="1" applyProtection="1">
      <alignment horizontal="left" vertical="top" wrapText="1"/>
      <protection hidden="1"/>
    </xf>
    <xf numFmtId="0" fontId="41" fillId="2" borderId="9" xfId="0" applyFont="1" applyFill="1" applyBorder="1" applyAlignment="1" applyProtection="1">
      <alignment horizontal="left" vertical="top" wrapText="1"/>
      <protection hidden="1"/>
    </xf>
    <xf numFmtId="0" fontId="41" fillId="2" borderId="21" xfId="0" applyFont="1" applyFill="1" applyBorder="1" applyAlignment="1" applyProtection="1">
      <alignment horizontal="left" vertical="top" wrapText="1"/>
      <protection hidden="1"/>
    </xf>
    <xf numFmtId="49" fontId="7" fillId="4" borderId="23" xfId="0" applyNumberFormat="1" applyFont="1" applyFill="1" applyBorder="1" applyAlignment="1" applyProtection="1">
      <alignment horizontal="left" wrapText="1"/>
      <protection locked="0" hidden="1"/>
    </xf>
    <xf numFmtId="49" fontId="7" fillId="4" borderId="9" xfId="0" applyNumberFormat="1" applyFont="1" applyFill="1" applyBorder="1" applyAlignment="1" applyProtection="1">
      <alignment horizontal="left" wrapText="1"/>
      <protection locked="0" hidden="1"/>
    </xf>
    <xf numFmtId="49" fontId="7" fillId="4" borderId="21" xfId="0" applyNumberFormat="1" applyFont="1" applyFill="1" applyBorder="1" applyAlignment="1" applyProtection="1">
      <alignment horizontal="left" wrapText="1"/>
      <protection locked="0" hidden="1"/>
    </xf>
    <xf numFmtId="0" fontId="6" fillId="0" borderId="0" xfId="0" applyFont="1" applyFill="1" applyBorder="1" applyAlignment="1" applyProtection="1">
      <alignment horizontal="right" vertical="top" indent="1"/>
      <protection hidden="1"/>
    </xf>
    <xf numFmtId="0" fontId="6" fillId="0" borderId="19" xfId="0" applyFont="1" applyFill="1" applyBorder="1" applyAlignment="1" applyProtection="1">
      <alignment horizontal="right" vertical="top" indent="1"/>
      <protection hidden="1"/>
    </xf>
    <xf numFmtId="0" fontId="18" fillId="0" borderId="8" xfId="0" applyFont="1" applyBorder="1" applyAlignment="1" applyProtection="1">
      <alignment horizontal="center"/>
      <protection hidden="1"/>
    </xf>
    <xf numFmtId="0" fontId="18" fillId="0" borderId="8" xfId="0" applyFont="1" applyBorder="1" applyAlignment="1">
      <alignment horizontal="center"/>
    </xf>
    <xf numFmtId="0" fontId="19" fillId="0" borderId="0" xfId="0" applyNumberFormat="1" applyFont="1" applyFill="1" applyBorder="1" applyAlignment="1" applyProtection="1">
      <alignment horizontal="left" wrapText="1"/>
      <protection hidden="1"/>
    </xf>
    <xf numFmtId="0" fontId="8" fillId="0" borderId="0" xfId="0" applyFont="1" applyAlignment="1">
      <alignment horizontal="left" wrapText="1"/>
    </xf>
    <xf numFmtId="0" fontId="8" fillId="0" borderId="0" xfId="0" applyFont="1" applyAlignment="1">
      <alignment wrapText="1"/>
    </xf>
    <xf numFmtId="49" fontId="6" fillId="4" borderId="20" xfId="0" applyNumberFormat="1" applyFont="1" applyFill="1" applyBorder="1" applyAlignment="1" applyProtection="1">
      <alignment horizontal="left"/>
      <protection locked="0" hidden="1"/>
    </xf>
    <xf numFmtId="49" fontId="6" fillId="4" borderId="21" xfId="0" applyNumberFormat="1" applyFont="1" applyFill="1" applyBorder="1" applyAlignment="1" applyProtection="1">
      <alignment horizontal="left"/>
      <protection locked="0" hidden="1"/>
    </xf>
    <xf numFmtId="14" fontId="7" fillId="4" borderId="20" xfId="0" applyNumberFormat="1" applyFont="1" applyFill="1" applyBorder="1" applyAlignment="1" applyProtection="1">
      <alignment horizontal="center"/>
      <protection locked="0" hidden="1"/>
    </xf>
    <xf numFmtId="14" fontId="7" fillId="4" borderId="21" xfId="0" applyNumberFormat="1" applyFont="1" applyFill="1" applyBorder="1" applyAlignment="1" applyProtection="1">
      <alignment horizontal="center"/>
      <protection locked="0" hidden="1"/>
    </xf>
    <xf numFmtId="0" fontId="19" fillId="0" borderId="9" xfId="0" applyFont="1" applyFill="1" applyBorder="1" applyAlignment="1" applyProtection="1">
      <alignment horizontal="center" vertical="top"/>
      <protection hidden="1"/>
    </xf>
    <xf numFmtId="0" fontId="19" fillId="0" borderId="9" xfId="0" applyFont="1" applyFill="1" applyBorder="1" applyAlignment="1" applyProtection="1">
      <alignment horizontal="center"/>
      <protection hidden="1"/>
    </xf>
    <xf numFmtId="0" fontId="7" fillId="5" borderId="2" xfId="0" applyFont="1" applyFill="1" applyBorder="1" applyAlignment="1" applyProtection="1">
      <alignment horizontal="right" vertical="center" wrapText="1"/>
      <protection hidden="1"/>
    </xf>
    <xf numFmtId="0" fontId="0" fillId="0" borderId="3" xfId="0" applyBorder="1" applyAlignment="1" applyProtection="1">
      <alignment horizontal="right" vertical="center" wrapText="1"/>
      <protection hidden="1"/>
    </xf>
    <xf numFmtId="0" fontId="7" fillId="5" borderId="50" xfId="0" applyFont="1" applyFill="1" applyBorder="1" applyAlignment="1" applyProtection="1">
      <alignment horizontal="center" vertical="center" wrapText="1"/>
      <protection hidden="1"/>
    </xf>
    <xf numFmtId="0" fontId="0" fillId="0" borderId="51" xfId="0" applyBorder="1" applyAlignment="1" applyProtection="1">
      <alignment horizontal="center" vertical="center" wrapText="1"/>
      <protection hidden="1"/>
    </xf>
    <xf numFmtId="0" fontId="14" fillId="2" borderId="17" xfId="0" applyFont="1" applyFill="1" applyBorder="1" applyAlignment="1" applyProtection="1">
      <alignment horizontal="left" vertical="top" wrapText="1"/>
      <protection locked="0" hidden="1"/>
    </xf>
    <xf numFmtId="0" fontId="49" fillId="2" borderId="8" xfId="0" applyFont="1" applyFill="1" applyBorder="1" applyAlignment="1" applyProtection="1">
      <alignment horizontal="left" vertical="top" wrapText="1"/>
      <protection locked="0"/>
    </xf>
    <xf numFmtId="0" fontId="49" fillId="2" borderId="18" xfId="0" applyFont="1" applyFill="1" applyBorder="1" applyAlignment="1" applyProtection="1">
      <alignment horizontal="left" vertical="top" wrapText="1"/>
      <protection locked="0"/>
    </xf>
    <xf numFmtId="0" fontId="49" fillId="2" borderId="11" xfId="0" applyFont="1" applyFill="1" applyBorder="1" applyAlignment="1" applyProtection="1">
      <alignment horizontal="left" vertical="top" wrapText="1"/>
      <protection locked="0"/>
    </xf>
    <xf numFmtId="0" fontId="49" fillId="2" borderId="0" xfId="0" applyFont="1" applyFill="1" applyBorder="1" applyAlignment="1" applyProtection="1">
      <alignment horizontal="left" vertical="top" wrapText="1"/>
      <protection locked="0"/>
    </xf>
    <xf numFmtId="0" fontId="49" fillId="2" borderId="19" xfId="0" applyFont="1" applyFill="1" applyBorder="1" applyAlignment="1" applyProtection="1">
      <alignment horizontal="left" vertical="top" wrapText="1"/>
      <protection locked="0"/>
    </xf>
    <xf numFmtId="0" fontId="49" fillId="2" borderId="12" xfId="0" applyFont="1" applyFill="1" applyBorder="1" applyAlignment="1" applyProtection="1">
      <alignment horizontal="left" vertical="top" wrapText="1"/>
      <protection locked="0"/>
    </xf>
    <xf numFmtId="0" fontId="49" fillId="2" borderId="7" xfId="0" applyFont="1" applyFill="1" applyBorder="1" applyAlignment="1" applyProtection="1">
      <alignment horizontal="left" vertical="top" wrapText="1"/>
      <protection locked="0"/>
    </xf>
    <xf numFmtId="0" fontId="49" fillId="2" borderId="10" xfId="0" applyFont="1" applyFill="1" applyBorder="1" applyAlignment="1" applyProtection="1">
      <alignment horizontal="left" vertical="top" wrapText="1"/>
      <protection locked="0"/>
    </xf>
    <xf numFmtId="164" fontId="16" fillId="5" borderId="62" xfId="0" applyNumberFormat="1" applyFont="1" applyFill="1" applyBorder="1" applyAlignment="1" applyProtection="1">
      <alignment horizontal="right" vertical="center"/>
      <protection hidden="1"/>
    </xf>
    <xf numFmtId="0" fontId="0" fillId="0" borderId="47" xfId="0" applyBorder="1" applyAlignment="1" applyProtection="1">
      <alignment vertical="center"/>
      <protection hidden="1"/>
    </xf>
    <xf numFmtId="49" fontId="7" fillId="4" borderId="20" xfId="0" applyNumberFormat="1" applyFont="1" applyFill="1" applyBorder="1" applyAlignment="1" applyProtection="1">
      <alignment horizontal="left" vertical="center"/>
      <protection locked="0" hidden="1"/>
    </xf>
    <xf numFmtId="49" fontId="7" fillId="4" borderId="9" xfId="0" applyNumberFormat="1" applyFont="1" applyFill="1" applyBorder="1" applyAlignment="1" applyProtection="1">
      <alignment horizontal="left" vertical="center"/>
      <protection locked="0" hidden="1"/>
    </xf>
    <xf numFmtId="49" fontId="7" fillId="4" borderId="21" xfId="0" applyNumberFormat="1" applyFont="1" applyFill="1" applyBorder="1" applyAlignment="1" applyProtection="1">
      <alignment horizontal="left" vertical="center"/>
      <protection locked="0" hidden="1"/>
    </xf>
    <xf numFmtId="0" fontId="7" fillId="0" borderId="31" xfId="0" applyFont="1" applyFill="1" applyBorder="1" applyAlignment="1" applyProtection="1">
      <alignment horizontal="center" vertical="center" wrapText="1"/>
      <protection hidden="1"/>
    </xf>
    <xf numFmtId="0" fontId="7" fillId="0" borderId="1" xfId="0" applyFont="1" applyFill="1" applyBorder="1" applyAlignment="1" applyProtection="1">
      <alignment horizontal="center" vertical="center" wrapText="1"/>
      <protection hidden="1"/>
    </xf>
    <xf numFmtId="0" fontId="7" fillId="0" borderId="6" xfId="0" applyFont="1" applyFill="1" applyBorder="1" applyAlignment="1" applyProtection="1">
      <alignment horizontal="center" vertical="center" wrapText="1"/>
      <protection hidden="1"/>
    </xf>
    <xf numFmtId="0" fontId="7" fillId="0" borderId="32" xfId="0" applyFont="1" applyFill="1" applyBorder="1" applyAlignment="1" applyProtection="1">
      <alignment horizontal="center" vertical="center" wrapText="1"/>
      <protection hidden="1"/>
    </xf>
    <xf numFmtId="0" fontId="7" fillId="0" borderId="16" xfId="0" applyFont="1" applyFill="1" applyBorder="1" applyAlignment="1" applyProtection="1">
      <alignment horizontal="center" vertical="center" wrapText="1"/>
      <protection hidden="1"/>
    </xf>
    <xf numFmtId="0" fontId="7" fillId="0" borderId="33" xfId="0" applyFont="1" applyFill="1" applyBorder="1" applyAlignment="1" applyProtection="1">
      <alignment horizontal="center" vertical="center" wrapText="1"/>
      <protection hidden="1"/>
    </xf>
    <xf numFmtId="0" fontId="15" fillId="5" borderId="2" xfId="0" applyFont="1" applyFill="1" applyBorder="1" applyAlignment="1" applyProtection="1">
      <alignment horizontal="center" vertical="center" wrapText="1"/>
      <protection hidden="1"/>
    </xf>
    <xf numFmtId="0" fontId="13" fillId="0" borderId="3" xfId="0" applyFont="1" applyBorder="1" applyAlignment="1">
      <alignment vertical="center" wrapText="1"/>
    </xf>
    <xf numFmtId="0" fontId="13" fillId="0" borderId="65" xfId="0" applyFont="1" applyBorder="1" applyAlignment="1">
      <alignment vertical="center" wrapText="1"/>
    </xf>
    <xf numFmtId="0" fontId="0" fillId="0" borderId="51" xfId="0" applyBorder="1" applyAlignment="1" applyProtection="1">
      <alignment vertical="center" wrapText="1"/>
      <protection hidden="1"/>
    </xf>
    <xf numFmtId="0" fontId="7" fillId="5" borderId="31" xfId="0" applyFont="1" applyFill="1" applyBorder="1" applyAlignment="1" applyProtection="1">
      <alignment horizontal="right" vertical="center" wrapText="1"/>
      <protection hidden="1"/>
    </xf>
    <xf numFmtId="0" fontId="0" fillId="0" borderId="63" xfId="0" applyBorder="1" applyAlignment="1" applyProtection="1">
      <alignment horizontal="right" vertical="center" wrapText="1"/>
      <protection hidden="1"/>
    </xf>
    <xf numFmtId="0" fontId="0" fillId="0" borderId="32" xfId="0" applyBorder="1" applyAlignment="1" applyProtection="1">
      <alignment horizontal="right" vertical="center" wrapText="1"/>
      <protection hidden="1"/>
    </xf>
    <xf numFmtId="0" fontId="0" fillId="0" borderId="64" xfId="0" applyBorder="1" applyAlignment="1" applyProtection="1">
      <alignment horizontal="right" vertical="center" wrapText="1"/>
      <protection hidden="1"/>
    </xf>
    <xf numFmtId="0" fontId="16" fillId="0" borderId="31" xfId="0" applyFont="1" applyBorder="1" applyAlignment="1" applyProtection="1">
      <alignment horizontal="center" vertical="top" wrapText="1"/>
      <protection hidden="1"/>
    </xf>
    <xf numFmtId="0" fontId="5" fillId="0" borderId="1" xfId="0" applyFont="1" applyBorder="1" applyAlignment="1" applyProtection="1">
      <alignment horizontal="center" vertical="top"/>
      <protection hidden="1"/>
    </xf>
    <xf numFmtId="0" fontId="5" fillId="0" borderId="6" xfId="0" applyFont="1" applyBorder="1" applyAlignment="1" applyProtection="1">
      <alignment horizontal="center" vertical="top"/>
      <protection hidden="1"/>
    </xf>
    <xf numFmtId="0" fontId="11" fillId="0" borderId="0" xfId="0" applyFont="1" applyBorder="1" applyAlignment="1" applyProtection="1">
      <alignment horizontal="center" vertical="top"/>
      <protection hidden="1"/>
    </xf>
    <xf numFmtId="0" fontId="2" fillId="2" borderId="0" xfId="0" applyFont="1" applyFill="1" applyBorder="1" applyAlignment="1" applyProtection="1">
      <alignment vertical="center"/>
      <protection hidden="1"/>
    </xf>
    <xf numFmtId="0" fontId="18" fillId="2" borderId="8" xfId="0" applyFont="1" applyFill="1" applyBorder="1" applyAlignment="1" applyProtection="1">
      <alignment horizontal="center" vertical="center"/>
      <protection hidden="1"/>
    </xf>
    <xf numFmtId="49" fontId="7" fillId="4" borderId="20" xfId="0" applyNumberFormat="1" applyFont="1" applyFill="1" applyBorder="1" applyAlignment="1" applyProtection="1">
      <alignment horizontal="center" vertical="center"/>
      <protection locked="0" hidden="1"/>
    </xf>
    <xf numFmtId="49" fontId="7" fillId="4" borderId="21" xfId="0" applyNumberFormat="1" applyFont="1" applyFill="1" applyBorder="1" applyAlignment="1" applyProtection="1">
      <alignment horizontal="center" vertical="center"/>
      <protection locked="0" hidden="1"/>
    </xf>
    <xf numFmtId="0" fontId="0" fillId="0" borderId="21" xfId="0" applyBorder="1" applyAlignment="1" applyProtection="1">
      <alignment horizontal="left"/>
      <protection locked="0" hidden="1"/>
    </xf>
    <xf numFmtId="0" fontId="20" fillId="0" borderId="0" xfId="0" applyFont="1" applyAlignment="1" applyProtection="1">
      <alignment horizontal="left" vertical="center"/>
      <protection hidden="1"/>
    </xf>
    <xf numFmtId="0" fontId="2" fillId="4" borderId="20" xfId="0" applyNumberFormat="1" applyFont="1" applyFill="1" applyBorder="1" applyAlignment="1" applyProtection="1">
      <alignment horizontal="center"/>
      <protection locked="0" hidden="1"/>
    </xf>
    <xf numFmtId="0" fontId="2" fillId="4" borderId="9" xfId="0" applyNumberFormat="1" applyFont="1" applyFill="1" applyBorder="1" applyAlignment="1" applyProtection="1">
      <alignment horizontal="center"/>
      <protection locked="0" hidden="1"/>
    </xf>
    <xf numFmtId="0" fontId="2" fillId="4" borderId="21" xfId="0" applyNumberFormat="1" applyFont="1" applyFill="1" applyBorder="1" applyAlignment="1" applyProtection="1">
      <alignment horizontal="center"/>
      <protection locked="0" hidden="1"/>
    </xf>
    <xf numFmtId="0" fontId="7" fillId="4" borderId="20" xfId="0" applyFont="1" applyFill="1" applyBorder="1" applyAlignment="1" applyProtection="1">
      <alignment horizontal="center"/>
      <protection locked="0" hidden="1"/>
    </xf>
    <xf numFmtId="0" fontId="7" fillId="4" borderId="9" xfId="0" applyFont="1" applyFill="1" applyBorder="1" applyAlignment="1" applyProtection="1">
      <alignment horizontal="center"/>
      <protection locked="0" hidden="1"/>
    </xf>
    <xf numFmtId="0" fontId="7" fillId="4" borderId="21" xfId="0" applyFont="1" applyFill="1" applyBorder="1" applyAlignment="1" applyProtection="1">
      <alignment horizontal="center"/>
      <protection locked="0" hidden="1"/>
    </xf>
    <xf numFmtId="0" fontId="12" fillId="0" borderId="31" xfId="0" applyFont="1" applyBorder="1" applyAlignment="1" applyProtection="1">
      <alignment horizontal="right" vertical="center" wrapText="1" indent="1"/>
      <protection hidden="1"/>
    </xf>
    <xf numFmtId="0" fontId="49" fillId="0" borderId="1" xfId="0" applyFont="1" applyBorder="1" applyAlignment="1">
      <alignment horizontal="right" vertical="center" indent="1"/>
    </xf>
    <xf numFmtId="0" fontId="12" fillId="0" borderId="32" xfId="0" applyFont="1" applyBorder="1" applyAlignment="1" applyProtection="1">
      <alignment horizontal="right" vertical="center" indent="1"/>
      <protection hidden="1"/>
    </xf>
    <xf numFmtId="0" fontId="0" fillId="0" borderId="16" xfId="0" applyBorder="1" applyAlignment="1">
      <alignment horizontal="right" vertical="center" indent="1"/>
    </xf>
    <xf numFmtId="49" fontId="6" fillId="4" borderId="9" xfId="0" applyNumberFormat="1" applyFont="1" applyFill="1" applyBorder="1" applyAlignment="1" applyProtection="1">
      <alignment horizontal="left"/>
      <protection locked="0" hidden="1"/>
    </xf>
    <xf numFmtId="0" fontId="80" fillId="0" borderId="0" xfId="0" applyFont="1" applyFill="1" applyBorder="1" applyAlignment="1" applyProtection="1">
      <alignment horizontal="right" vertical="top" wrapText="1" indent="1"/>
      <protection hidden="1"/>
    </xf>
    <xf numFmtId="0" fontId="5" fillId="0" borderId="0" xfId="0" applyFont="1" applyAlignment="1">
      <alignment horizontal="right" vertical="top" indent="1"/>
    </xf>
    <xf numFmtId="49" fontId="6" fillId="4" borderId="20" xfId="0" applyNumberFormat="1" applyFont="1" applyFill="1" applyBorder="1" applyAlignment="1" applyProtection="1">
      <alignment horizontal="left" vertical="center"/>
      <protection locked="0" hidden="1"/>
    </xf>
    <xf numFmtId="49" fontId="6" fillId="4" borderId="9" xfId="0" applyNumberFormat="1" applyFont="1" applyFill="1" applyBorder="1" applyAlignment="1" applyProtection="1">
      <alignment horizontal="left" vertical="center"/>
      <protection locked="0" hidden="1"/>
    </xf>
    <xf numFmtId="49" fontId="6" fillId="4" borderId="21" xfId="0" applyNumberFormat="1" applyFont="1" applyFill="1" applyBorder="1" applyAlignment="1" applyProtection="1">
      <alignment horizontal="left" vertical="center"/>
      <protection locked="0" hidden="1"/>
    </xf>
    <xf numFmtId="0" fontId="6" fillId="0" borderId="0" xfId="0" applyNumberFormat="1" applyFont="1" applyFill="1" applyBorder="1" applyAlignment="1" applyProtection="1">
      <alignment horizontal="right" vertical="center" wrapText="1" indent="1"/>
      <protection hidden="1"/>
    </xf>
    <xf numFmtId="0" fontId="6" fillId="0" borderId="19" xfId="0" applyNumberFormat="1" applyFont="1" applyFill="1" applyBorder="1" applyAlignment="1" applyProtection="1">
      <alignment horizontal="right" vertical="center" wrapText="1" indent="1"/>
      <protection hidden="1"/>
    </xf>
    <xf numFmtId="0" fontId="77" fillId="0" borderId="72" xfId="0" applyFont="1" applyBorder="1" applyAlignment="1" applyProtection="1">
      <protection hidden="1"/>
    </xf>
    <xf numFmtId="0" fontId="77" fillId="0" borderId="73" xfId="0" applyFont="1" applyBorder="1" applyAlignment="1"/>
    <xf numFmtId="0" fontId="7" fillId="0" borderId="32" xfId="0" applyFont="1" applyBorder="1" applyAlignment="1" applyProtection="1">
      <alignment horizontal="center" vertical="top" wrapText="1"/>
      <protection hidden="1"/>
    </xf>
    <xf numFmtId="0" fontId="8" fillId="0" borderId="16" xfId="0" applyFont="1" applyBorder="1" applyAlignment="1">
      <alignment horizontal="center" vertical="top" wrapText="1"/>
    </xf>
    <xf numFmtId="0" fontId="8" fillId="0" borderId="33" xfId="0" applyFont="1" applyBorder="1" applyAlignment="1">
      <alignment horizontal="center" vertical="top" wrapText="1"/>
    </xf>
    <xf numFmtId="49" fontId="7" fillId="4" borderId="24" xfId="0" applyNumberFormat="1" applyFont="1" applyFill="1" applyBorder="1" applyAlignment="1" applyProtection="1">
      <alignment horizontal="left" wrapText="1"/>
      <protection locked="0" hidden="1"/>
    </xf>
    <xf numFmtId="49" fontId="7" fillId="4" borderId="25" xfId="0" applyNumberFormat="1" applyFont="1" applyFill="1" applyBorder="1" applyAlignment="1" applyProtection="1">
      <alignment horizontal="left" wrapText="1"/>
      <protection locked="0" hidden="1"/>
    </xf>
    <xf numFmtId="49" fontId="7" fillId="4" borderId="26" xfId="0" applyNumberFormat="1" applyFont="1" applyFill="1" applyBorder="1" applyAlignment="1" applyProtection="1">
      <alignment horizontal="left" wrapText="1"/>
      <protection locked="0" hidden="1"/>
    </xf>
    <xf numFmtId="0" fontId="11" fillId="0" borderId="8" xfId="0" applyFont="1" applyBorder="1" applyAlignment="1" applyProtection="1">
      <alignment horizontal="right" vertical="center" wrapText="1"/>
      <protection hidden="1"/>
    </xf>
    <xf numFmtId="0" fontId="0" fillId="0" borderId="18" xfId="0" applyBorder="1" applyAlignment="1" applyProtection="1">
      <alignment vertical="center" wrapText="1"/>
      <protection hidden="1"/>
    </xf>
    <xf numFmtId="0" fontId="0" fillId="0" borderId="0" xfId="0" applyAlignment="1" applyProtection="1">
      <alignment vertical="center" wrapText="1"/>
      <protection hidden="1"/>
    </xf>
    <xf numFmtId="0" fontId="0" fillId="0" borderId="19" xfId="0" applyBorder="1" applyAlignment="1" applyProtection="1">
      <alignment vertical="center" wrapText="1"/>
      <protection hidden="1"/>
    </xf>
    <xf numFmtId="14" fontId="7" fillId="4" borderId="48" xfId="0" applyNumberFormat="1" applyFont="1" applyFill="1" applyBorder="1" applyAlignment="1" applyProtection="1">
      <alignment horizontal="center"/>
      <protection locked="0" hidden="1"/>
    </xf>
    <xf numFmtId="14" fontId="7" fillId="4" borderId="26" xfId="0" applyNumberFormat="1" applyFont="1" applyFill="1" applyBorder="1" applyAlignment="1" applyProtection="1">
      <alignment horizontal="center"/>
      <protection locked="0" hidden="1"/>
    </xf>
    <xf numFmtId="0" fontId="2" fillId="4" borderId="20" xfId="0" applyFont="1" applyFill="1" applyBorder="1" applyAlignment="1" applyProtection="1">
      <alignment horizontal="left" vertical="center"/>
      <protection locked="0" hidden="1"/>
    </xf>
    <xf numFmtId="0" fontId="2" fillId="4" borderId="21" xfId="0" applyFont="1" applyFill="1" applyBorder="1" applyAlignment="1" applyProtection="1">
      <alignment horizontal="left" vertical="center"/>
      <protection locked="0" hidden="1"/>
    </xf>
    <xf numFmtId="0" fontId="7" fillId="0" borderId="2" xfId="0" applyFont="1" applyBorder="1" applyAlignment="1" applyProtection="1">
      <alignment horizontal="center" vertical="center" wrapText="1"/>
      <protection hidden="1"/>
    </xf>
    <xf numFmtId="0" fontId="7" fillId="0" borderId="22" xfId="0" applyFont="1" applyBorder="1" applyAlignment="1" applyProtection="1">
      <alignment horizontal="center" vertical="center" wrapText="1"/>
      <protection hidden="1"/>
    </xf>
    <xf numFmtId="14" fontId="7" fillId="3" borderId="49" xfId="0" applyNumberFormat="1" applyFont="1" applyFill="1" applyBorder="1" applyAlignment="1" applyProtection="1">
      <alignment horizontal="center"/>
      <protection hidden="1"/>
    </xf>
    <xf numFmtId="14" fontId="7" fillId="3" borderId="29" xfId="0" applyNumberFormat="1" applyFont="1" applyFill="1" applyBorder="1" applyAlignment="1" applyProtection="1">
      <alignment horizontal="center"/>
      <protection hidden="1"/>
    </xf>
    <xf numFmtId="0" fontId="7" fillId="3" borderId="27" xfId="0" applyNumberFormat="1" applyFont="1" applyFill="1" applyBorder="1" applyAlignment="1" applyProtection="1">
      <alignment horizontal="left"/>
      <protection hidden="1"/>
    </xf>
    <xf numFmtId="0" fontId="7" fillId="3" borderId="28" xfId="0" applyNumberFormat="1" applyFont="1" applyFill="1" applyBorder="1" applyAlignment="1" applyProtection="1">
      <alignment horizontal="left"/>
      <protection hidden="1"/>
    </xf>
    <xf numFmtId="0" fontId="7" fillId="3" borderId="29" xfId="0" applyNumberFormat="1" applyFont="1" applyFill="1" applyBorder="1" applyAlignment="1" applyProtection="1">
      <alignment horizontal="left"/>
      <protection hidden="1"/>
    </xf>
    <xf numFmtId="0" fontId="7" fillId="0" borderId="11" xfId="0" applyFont="1" applyBorder="1" applyAlignment="1" applyProtection="1">
      <alignment horizontal="right" vertical="center"/>
      <protection hidden="1"/>
    </xf>
    <xf numFmtId="0" fontId="7" fillId="0" borderId="0" xfId="0" applyFont="1" applyBorder="1" applyAlignment="1" applyProtection="1">
      <alignment horizontal="right" vertical="center"/>
      <protection hidden="1"/>
    </xf>
    <xf numFmtId="3" fontId="7" fillId="0" borderId="2" xfId="0" applyNumberFormat="1" applyFont="1" applyFill="1" applyBorder="1" applyAlignment="1" applyProtection="1">
      <alignment horizontal="center"/>
      <protection hidden="1"/>
    </xf>
    <xf numFmtId="3" fontId="7" fillId="0" borderId="22" xfId="0" applyNumberFormat="1" applyFont="1" applyFill="1" applyBorder="1" applyAlignment="1" applyProtection="1">
      <alignment horizontal="center"/>
      <protection hidden="1"/>
    </xf>
    <xf numFmtId="0" fontId="77" fillId="0" borderId="75" xfId="0" applyFont="1" applyBorder="1" applyAlignment="1" applyProtection="1">
      <protection hidden="1"/>
    </xf>
    <xf numFmtId="0" fontId="77" fillId="0" borderId="76" xfId="0" applyFont="1" applyBorder="1" applyAlignment="1"/>
    <xf numFmtId="0" fontId="75" fillId="3" borderId="17" xfId="0" applyFont="1" applyFill="1" applyBorder="1" applyAlignment="1" applyProtection="1">
      <alignment wrapText="1"/>
      <protection hidden="1"/>
    </xf>
    <xf numFmtId="0" fontId="0" fillId="0" borderId="18" xfId="0" applyBorder="1" applyAlignment="1">
      <alignment wrapText="1"/>
    </xf>
    <xf numFmtId="0" fontId="0" fillId="0" borderId="12" xfId="0" applyBorder="1" applyAlignment="1">
      <alignment wrapText="1"/>
    </xf>
    <xf numFmtId="0" fontId="0" fillId="0" borderId="10" xfId="0" applyBorder="1" applyAlignment="1">
      <alignment wrapText="1"/>
    </xf>
    <xf numFmtId="0" fontId="5" fillId="0" borderId="69" xfId="0" applyFont="1" applyBorder="1" applyAlignment="1" applyProtection="1">
      <protection hidden="1"/>
    </xf>
    <xf numFmtId="0" fontId="5" fillId="0" borderId="70" xfId="0" applyFont="1" applyBorder="1" applyAlignment="1"/>
    <xf numFmtId="0" fontId="6" fillId="0" borderId="1" xfId="0" applyFont="1" applyFill="1" applyBorder="1" applyAlignment="1" applyProtection="1">
      <alignment horizontal="right" wrapText="1" indent="1"/>
      <protection hidden="1"/>
    </xf>
    <xf numFmtId="0" fontId="0" fillId="0" borderId="1" xfId="0" applyBorder="1" applyAlignment="1">
      <alignment horizontal="right" indent="1"/>
    </xf>
    <xf numFmtId="49" fontId="46" fillId="4" borderId="20" xfId="0" applyNumberFormat="1" applyFont="1" applyFill="1" applyBorder="1" applyAlignment="1" applyProtection="1">
      <alignment horizontal="center" vertical="center"/>
      <protection locked="0"/>
    </xf>
    <xf numFmtId="0" fontId="0" fillId="0" borderId="21" xfId="0" applyBorder="1" applyAlignment="1" applyProtection="1">
      <alignment horizontal="center"/>
      <protection locked="0"/>
    </xf>
    <xf numFmtId="3" fontId="7" fillId="3" borderId="34" xfId="0" applyNumberFormat="1" applyFont="1" applyFill="1" applyBorder="1" applyAlignment="1" applyProtection="1">
      <alignment horizontal="right" vertical="center"/>
      <protection hidden="1"/>
    </xf>
    <xf numFmtId="3" fontId="7" fillId="3" borderId="14" xfId="0" applyNumberFormat="1" applyFont="1" applyFill="1" applyBorder="1" applyAlignment="1" applyProtection="1">
      <alignment horizontal="right" vertical="center"/>
      <protection hidden="1"/>
    </xf>
    <xf numFmtId="0" fontId="7" fillId="0" borderId="8" xfId="0" applyFont="1" applyBorder="1" applyAlignment="1" applyProtection="1">
      <alignment horizontal="center" wrapText="1"/>
      <protection hidden="1"/>
    </xf>
    <xf numFmtId="0" fontId="0" fillId="0" borderId="8" xfId="0" applyBorder="1" applyAlignment="1">
      <alignment wrapText="1"/>
    </xf>
    <xf numFmtId="0" fontId="0" fillId="0" borderId="16" xfId="0" applyBorder="1" applyAlignment="1">
      <alignment wrapText="1"/>
    </xf>
    <xf numFmtId="0" fontId="68" fillId="0" borderId="5" xfId="0" applyFont="1" applyBorder="1" applyAlignment="1" applyProtection="1">
      <alignment horizontal="left" vertical="center" wrapText="1"/>
      <protection hidden="1"/>
    </xf>
    <xf numFmtId="0" fontId="68" fillId="0" borderId="5" xfId="0" applyFont="1" applyBorder="1" applyAlignment="1">
      <alignment horizontal="left" vertical="center" wrapText="1"/>
    </xf>
    <xf numFmtId="0" fontId="7" fillId="0" borderId="0" xfId="0" applyFont="1" applyBorder="1" applyAlignment="1" applyProtection="1">
      <alignment horizontal="right" wrapText="1" indent="1"/>
      <protection hidden="1"/>
    </xf>
    <xf numFmtId="0" fontId="0" fillId="0" borderId="0" xfId="0" applyAlignment="1">
      <alignment horizontal="right" indent="1"/>
    </xf>
    <xf numFmtId="0" fontId="7" fillId="2" borderId="0" xfId="0" applyFont="1" applyFill="1" applyAlignment="1" applyProtection="1">
      <alignment horizontal="right" vertical="center" indent="1"/>
      <protection hidden="1"/>
    </xf>
    <xf numFmtId="0" fontId="0" fillId="0" borderId="19" xfId="0" applyBorder="1" applyAlignment="1">
      <alignment horizontal="right" vertical="center" indent="1"/>
    </xf>
    <xf numFmtId="0" fontId="42" fillId="0" borderId="0" xfId="0" applyFont="1" applyAlignment="1" applyProtection="1">
      <alignment horizontal="left" wrapText="1"/>
      <protection hidden="1"/>
    </xf>
    <xf numFmtId="0" fontId="0" fillId="0" borderId="0" xfId="0" applyAlignment="1"/>
    <xf numFmtId="0" fontId="0" fillId="0" borderId="7" xfId="0" applyBorder="1" applyAlignment="1"/>
    <xf numFmtId="0" fontId="8" fillId="44" borderId="20" xfId="0" applyFont="1" applyFill="1" applyBorder="1" applyAlignment="1" applyProtection="1">
      <alignment vertical="center"/>
      <protection locked="0"/>
    </xf>
    <xf numFmtId="0" fontId="0" fillId="44" borderId="21" xfId="0" applyFill="1" applyBorder="1" applyAlignment="1">
      <alignment vertical="center"/>
    </xf>
    <xf numFmtId="0" fontId="11" fillId="0" borderId="7" xfId="0" applyFont="1" applyBorder="1" applyAlignment="1" applyProtection="1">
      <alignment horizontal="right"/>
      <protection hidden="1"/>
    </xf>
    <xf numFmtId="3" fontId="11" fillId="0" borderId="34" xfId="0" applyNumberFormat="1" applyFont="1" applyBorder="1" applyAlignment="1" applyProtection="1">
      <alignment horizontal="right" vertical="top" wrapText="1"/>
      <protection hidden="1"/>
    </xf>
    <xf numFmtId="3" fontId="11" fillId="0" borderId="15" xfId="0" applyNumberFormat="1" applyFont="1" applyBorder="1" applyAlignment="1" applyProtection="1">
      <alignment horizontal="right" vertical="top" wrapText="1"/>
      <protection hidden="1"/>
    </xf>
    <xf numFmtId="0" fontId="24" fillId="0" borderId="19" xfId="0" applyFont="1" applyFill="1" applyBorder="1" applyAlignment="1" applyProtection="1">
      <alignment horizontal="right" vertical="center" wrapText="1" indent="1"/>
      <protection hidden="1"/>
    </xf>
    <xf numFmtId="0" fontId="0" fillId="0" borderId="19" xfId="0" applyFont="1" applyBorder="1" applyAlignment="1">
      <alignment horizontal="right" vertical="center" wrapText="1" indent="1"/>
    </xf>
    <xf numFmtId="0" fontId="14" fillId="0" borderId="9" xfId="0" applyFont="1" applyBorder="1" applyAlignment="1" applyProtection="1">
      <alignment horizontal="right"/>
      <protection hidden="1"/>
    </xf>
    <xf numFmtId="0" fontId="8" fillId="0" borderId="9" xfId="0" applyFont="1" applyBorder="1" applyAlignment="1">
      <alignment horizontal="right"/>
    </xf>
    <xf numFmtId="0" fontId="8" fillId="4" borderId="20" xfId="0" applyFont="1" applyFill="1" applyBorder="1" applyAlignment="1" applyProtection="1">
      <alignment horizontal="center"/>
      <protection locked="0" hidden="1"/>
    </xf>
    <xf numFmtId="0" fontId="8" fillId="4" borderId="9" xfId="0" applyFont="1" applyFill="1" applyBorder="1" applyAlignment="1" applyProtection="1">
      <alignment horizontal="center"/>
      <protection locked="0" hidden="1"/>
    </xf>
    <xf numFmtId="0" fontId="8" fillId="4" borderId="21" xfId="0" applyFont="1" applyFill="1" applyBorder="1" applyAlignment="1" applyProtection="1">
      <alignment horizontal="center"/>
      <protection locked="0" hidden="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2" xfId="0" applyFont="1" applyBorder="1" applyAlignment="1">
      <alignment horizontal="center" vertical="center"/>
    </xf>
    <xf numFmtId="0" fontId="49" fillId="2" borderId="2" xfId="0" applyFont="1" applyFill="1" applyBorder="1" applyAlignment="1" applyProtection="1">
      <alignment horizontal="center"/>
      <protection hidden="1"/>
    </xf>
    <xf numFmtId="0" fontId="49" fillId="2" borderId="3" xfId="0" applyFont="1" applyFill="1" applyBorder="1" applyAlignment="1" applyProtection="1">
      <alignment horizontal="center"/>
      <protection hidden="1"/>
    </xf>
    <xf numFmtId="0" fontId="49" fillId="2" borderId="22" xfId="0" applyFont="1" applyFill="1" applyBorder="1" applyAlignment="1" applyProtection="1">
      <alignment horizontal="center"/>
      <protection hidden="1"/>
    </xf>
    <xf numFmtId="0" fontId="49" fillId="2" borderId="42" xfId="0" applyFont="1" applyFill="1" applyBorder="1" applyAlignment="1" applyProtection="1">
      <alignment horizontal="left" vertical="center"/>
      <protection hidden="1"/>
    </xf>
    <xf numFmtId="0" fontId="49" fillId="2" borderId="8" xfId="0" applyFont="1" applyFill="1" applyBorder="1" applyAlignment="1" applyProtection="1">
      <alignment horizontal="left" vertical="center"/>
      <protection hidden="1"/>
    </xf>
    <xf numFmtId="0" fontId="49" fillId="2" borderId="43" xfId="0" applyFont="1" applyFill="1" applyBorder="1" applyAlignment="1" applyProtection="1">
      <alignment horizontal="left" vertical="center"/>
      <protection hidden="1"/>
    </xf>
    <xf numFmtId="0" fontId="49" fillId="2" borderId="40" xfId="0" applyFont="1" applyFill="1" applyBorder="1" applyAlignment="1" applyProtection="1">
      <alignment horizontal="left" vertical="center"/>
      <protection hidden="1"/>
    </xf>
    <xf numFmtId="0" fontId="49" fillId="2" borderId="7" xfId="0" applyFont="1" applyFill="1" applyBorder="1" applyAlignment="1" applyProtection="1">
      <alignment horizontal="left" vertical="center"/>
      <protection hidden="1"/>
    </xf>
    <xf numFmtId="0" fontId="49" fillId="2" borderId="41" xfId="0" applyFont="1" applyFill="1" applyBorder="1" applyAlignment="1" applyProtection="1">
      <alignment horizontal="left" vertical="center"/>
      <protection hidden="1"/>
    </xf>
    <xf numFmtId="0" fontId="5" fillId="0" borderId="0" xfId="0" applyFont="1" applyBorder="1" applyAlignment="1" applyProtection="1">
      <alignment horizontal="left" wrapText="1" indent="2"/>
      <protection hidden="1"/>
    </xf>
    <xf numFmtId="0" fontId="0" fillId="0" borderId="0" xfId="0" applyFont="1" applyBorder="1" applyAlignment="1" applyProtection="1">
      <alignment horizontal="left" wrapText="1" indent="2"/>
      <protection hidden="1"/>
    </xf>
    <xf numFmtId="49" fontId="5" fillId="0" borderId="0" xfId="0" applyNumberFormat="1" applyFont="1" applyBorder="1" applyAlignment="1" applyProtection="1">
      <alignment horizontal="left" indent="2"/>
      <protection hidden="1"/>
    </xf>
    <xf numFmtId="0" fontId="5" fillId="0" borderId="0" xfId="0" applyFont="1" applyBorder="1" applyAlignment="1" applyProtection="1">
      <alignment horizontal="left" indent="2"/>
      <protection hidden="1"/>
    </xf>
    <xf numFmtId="8" fontId="5" fillId="0" borderId="0" xfId="0" applyNumberFormat="1" applyFont="1" applyBorder="1" applyAlignment="1" applyProtection="1">
      <protection hidden="1"/>
    </xf>
    <xf numFmtId="8" fontId="0" fillId="0" borderId="0" xfId="0" applyNumberFormat="1" applyFont="1" applyAlignment="1" applyProtection="1">
      <protection hidden="1"/>
    </xf>
    <xf numFmtId="0" fontId="5" fillId="0" borderId="0" xfId="0" applyFont="1" applyBorder="1" applyAlignment="1" applyProtection="1">
      <alignment wrapText="1"/>
      <protection hidden="1"/>
    </xf>
    <xf numFmtId="0" fontId="0" fillId="0" borderId="0" xfId="0" applyFont="1" applyAlignment="1" applyProtection="1">
      <alignment wrapText="1"/>
      <protection hidden="1"/>
    </xf>
    <xf numFmtId="8" fontId="5" fillId="0" borderId="0" xfId="0" applyNumberFormat="1" applyFont="1" applyBorder="1" applyAlignment="1" applyProtection="1">
      <alignment horizontal="right" indent="2"/>
      <protection locked="0" hidden="1"/>
    </xf>
    <xf numFmtId="0" fontId="0" fillId="0" borderId="0" xfId="0" applyFont="1" applyAlignment="1" applyProtection="1">
      <alignment horizontal="right" indent="2"/>
      <protection locked="0" hidden="1"/>
    </xf>
    <xf numFmtId="0" fontId="0" fillId="0" borderId="0" xfId="0" applyAlignment="1">
      <alignment wrapText="1"/>
    </xf>
    <xf numFmtId="0" fontId="49" fillId="43" borderId="48" xfId="0" applyFont="1" applyFill="1" applyBorder="1" applyAlignment="1" applyProtection="1">
      <alignment horizontal="left" vertical="center"/>
      <protection hidden="1"/>
    </xf>
    <xf numFmtId="0" fontId="0" fillId="43" borderId="25" xfId="0" applyFill="1" applyBorder="1" applyAlignment="1">
      <alignment horizontal="left" vertical="center"/>
    </xf>
    <xf numFmtId="0" fontId="0" fillId="43" borderId="67" xfId="0" applyFill="1" applyBorder="1" applyAlignment="1">
      <alignment horizontal="left" vertical="center"/>
    </xf>
    <xf numFmtId="0" fontId="0" fillId="0" borderId="31"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14" fontId="49" fillId="2" borderId="48" xfId="0" applyNumberFormat="1" applyFont="1" applyFill="1" applyBorder="1" applyAlignment="1" applyProtection="1">
      <alignment horizontal="left" vertical="center" wrapText="1"/>
      <protection locked="0"/>
    </xf>
    <xf numFmtId="14" fontId="0" fillId="0" borderId="26" xfId="0" applyNumberFormat="1" applyFont="1" applyBorder="1" applyAlignment="1" applyProtection="1">
      <alignment horizontal="left" vertical="center" wrapText="1"/>
      <protection locked="0"/>
    </xf>
    <xf numFmtId="0" fontId="49" fillId="2" borderId="24" xfId="0" applyFont="1" applyFill="1" applyBorder="1" applyAlignment="1" applyProtection="1">
      <alignment horizontal="left" vertical="center"/>
      <protection hidden="1"/>
    </xf>
    <xf numFmtId="0" fontId="0" fillId="0" borderId="25" xfId="0" applyFont="1" applyBorder="1" applyAlignment="1" applyProtection="1">
      <alignment horizontal="left" vertical="center"/>
      <protection hidden="1"/>
    </xf>
    <xf numFmtId="0" fontId="44" fillId="46" borderId="27" xfId="0" applyFont="1" applyFill="1" applyBorder="1" applyAlignment="1">
      <alignment horizontal="center" wrapText="1"/>
    </xf>
    <xf numFmtId="0" fontId="0" fillId="46" borderId="28" xfId="0" applyFont="1" applyFill="1" applyBorder="1" applyAlignment="1">
      <alignment horizontal="center" wrapText="1"/>
    </xf>
    <xf numFmtId="0" fontId="0" fillId="46" borderId="28" xfId="0" applyFont="1" applyFill="1" applyBorder="1" applyAlignment="1"/>
    <xf numFmtId="0" fontId="0" fillId="46" borderId="104" xfId="0" applyFont="1" applyFill="1" applyBorder="1" applyAlignment="1"/>
    <xf numFmtId="0" fontId="5" fillId="41" borderId="27" xfId="0" applyFont="1" applyFill="1" applyBorder="1" applyAlignment="1">
      <alignment horizontal="center"/>
    </xf>
    <xf numFmtId="0" fontId="5" fillId="0" borderId="28" xfId="0" applyFont="1" applyBorder="1" applyAlignment="1">
      <alignment horizontal="center"/>
    </xf>
    <xf numFmtId="0" fontId="5" fillId="0" borderId="104" xfId="0" applyFont="1" applyBorder="1" applyAlignment="1">
      <alignment horizontal="center"/>
    </xf>
    <xf numFmtId="0" fontId="44" fillId="45" borderId="106" xfId="3" applyFont="1" applyFill="1" applyBorder="1" applyAlignment="1" applyProtection="1">
      <alignment horizontal="center" vertical="center" wrapText="1"/>
      <protection hidden="1"/>
    </xf>
    <xf numFmtId="0" fontId="0" fillId="45" borderId="107" xfId="0" applyFont="1" applyFill="1" applyBorder="1" applyAlignment="1" applyProtection="1">
      <alignment horizontal="center" vertical="center" wrapText="1"/>
      <protection hidden="1"/>
    </xf>
    <xf numFmtId="0" fontId="0" fillId="45" borderId="108" xfId="0" applyFont="1" applyFill="1" applyBorder="1" applyAlignment="1" applyProtection="1">
      <alignment horizontal="center" vertical="center" wrapText="1"/>
      <protection hidden="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22" xfId="0" applyFont="1" applyBorder="1" applyAlignment="1">
      <alignment horizontal="left" vertical="top" wrapText="1"/>
    </xf>
    <xf numFmtId="0" fontId="13" fillId="0" borderId="9" xfId="0" applyFont="1" applyBorder="1" applyAlignment="1">
      <alignment horizontal="right" indent="3"/>
    </xf>
    <xf numFmtId="0" fontId="0" fillId="0" borderId="21" xfId="0" applyBorder="1" applyAlignment="1">
      <alignment horizontal="right" indent="3"/>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2" xfId="1"/>
    <cellStyle name="Comma 3" xfId="5"/>
    <cellStyle name="Currency" xfId="4" builtinId="4"/>
    <cellStyle name="Currency 2" xfId="2"/>
    <cellStyle name="Currency 3" xfId="6"/>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cellStyle name="Note" xfId="21" builtinId="10" customBuiltin="1"/>
    <cellStyle name="Output" xfId="16" builtinId="21" customBuiltin="1"/>
    <cellStyle name="Title" xfId="7" builtinId="15" customBuiltin="1"/>
    <cellStyle name="Total" xfId="23" builtinId="25" customBuiltin="1"/>
    <cellStyle name="Warning Text" xfId="20" builtinId="11" customBuiltin="1"/>
  </cellStyles>
  <dxfs count="20">
    <dxf>
      <font>
        <b val="0"/>
        <i val="0"/>
        <strike val="0"/>
        <condense val="0"/>
        <extend val="0"/>
        <outline val="0"/>
        <shadow val="0"/>
        <u val="none"/>
        <vertAlign val="baseline"/>
        <sz val="12"/>
        <color theme="1"/>
        <name val="Calibri"/>
        <scheme val="minor"/>
      </font>
      <numFmt numFmtId="30" formatCode="@"/>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font>
        <b/>
        <i val="0"/>
        <strike val="0"/>
        <condense val="0"/>
        <extend val="0"/>
        <outline val="0"/>
        <shadow val="0"/>
        <u val="none"/>
        <vertAlign val="baseline"/>
        <sz val="11"/>
        <color theme="0" tint="-0.14999847407452621"/>
        <name val="Calibri"/>
        <scheme val="minor"/>
      </font>
    </dxf>
    <dxf>
      <font>
        <color theme="0" tint="-0.34998626667073579"/>
      </font>
    </dxf>
    <dxf>
      <font>
        <strike val="0"/>
        <color theme="0" tint="-0.34998626667073579"/>
      </font>
    </dxf>
    <dxf>
      <font>
        <b/>
        <i val="0"/>
        <color rgb="FFFF0000"/>
      </font>
    </dxf>
    <dxf>
      <font>
        <b/>
        <i val="0"/>
        <color rgb="FFFF0000"/>
      </font>
    </dxf>
    <dxf>
      <font>
        <strike val="0"/>
      </font>
      <border>
        <left/>
        <bottom/>
        <vertical/>
        <horizontal/>
      </border>
    </dxf>
    <dxf>
      <font>
        <strike/>
      </font>
      <border>
        <left style="thin">
          <color auto="1"/>
        </left>
        <vertical/>
        <horizontal/>
      </border>
    </dxf>
    <dxf>
      <font>
        <strike val="0"/>
        <color auto="1"/>
      </font>
    </dxf>
    <dxf>
      <numFmt numFmtId="173" formatCode=";;;"/>
    </dxf>
    <dxf>
      <border>
        <left style="thin">
          <color auto="1"/>
        </left>
        <top/>
        <vertical/>
        <horizontal/>
      </border>
    </dxf>
    <dxf>
      <border>
        <right/>
        <top/>
        <vertical/>
        <horizontal/>
      </border>
    </dxf>
    <dxf>
      <font>
        <color auto="1"/>
      </font>
      <fill>
        <patternFill>
          <bgColor theme="3" tint="0.79998168889431442"/>
        </patternFill>
      </fill>
      <border>
        <left style="thin">
          <color auto="1"/>
        </left>
        <right style="thin">
          <color auto="1"/>
        </right>
        <top style="thin">
          <color auto="1"/>
        </top>
        <bottom style="thin">
          <color auto="1"/>
        </bottom>
        <vertical/>
        <horizontal/>
      </border>
    </dxf>
    <dxf>
      <font>
        <strike/>
      </font>
    </dxf>
    <dxf>
      <numFmt numFmtId="173" formatCode=";;;"/>
    </dxf>
    <dxf>
      <font>
        <color rgb="FFFF0000"/>
      </font>
    </dxf>
    <dxf>
      <font>
        <strike/>
        <color rgb="FFFF0000"/>
      </font>
    </dxf>
    <dxf>
      <font>
        <b/>
        <i val="0"/>
        <color auto="1"/>
      </font>
    </dxf>
  </dxfs>
  <tableStyles count="0" defaultTableStyle="TableStyleMedium2" defaultPivotStyle="PivotStyleLight16"/>
  <colors>
    <mruColors>
      <color rgb="FF00924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DDSRes" lockText="1" noThreeD="1"/>
</file>

<file path=xl/ctrlProps/ctrlProp10.xml><?xml version="1.0" encoding="utf-8"?>
<formControlPr xmlns="http://schemas.microsoft.com/office/spreadsheetml/2009/9/main" objectType="CheckBox" fmlaLink="Purchase" noThreeD="1"/>
</file>

<file path=xl/ctrlProps/ctrlProp11.xml><?xml version="1.0" encoding="utf-8"?>
<formControlPr xmlns="http://schemas.microsoft.com/office/spreadsheetml/2009/9/main" objectType="CheckBox" fmlaLink="Lease" noThreeD="1"/>
</file>

<file path=xl/ctrlProps/ctrlProp12.xml><?xml version="1.0" encoding="utf-8"?>
<formControlPr xmlns="http://schemas.microsoft.com/office/spreadsheetml/2009/9/main" objectType="CheckBox" fmlaLink="CapitalLease" noThreeD="1"/>
</file>

<file path=xl/ctrlProps/ctrlProp13.xml><?xml version="1.0" encoding="utf-8"?>
<formControlPr xmlns="http://schemas.microsoft.com/office/spreadsheetml/2009/9/main" objectType="CheckBox" fmlaLink="DDSABI" lockText="1" noThreeD="1"/>
</file>

<file path=xl/ctrlProps/ctrlProp14.xml><?xml version="1.0" encoding="utf-8"?>
<formControlPr xmlns="http://schemas.microsoft.com/office/spreadsheetml/2009/9/main" objectType="CheckBox" fmlaLink="CEDACAPPLIED" noThreeD="1"/>
</file>

<file path=xl/ctrlProps/ctrlProp2.xml><?xml version="1.0" encoding="utf-8"?>
<formControlPr xmlns="http://schemas.microsoft.com/office/spreadsheetml/2009/9/main" objectType="CheckBox" fmlaLink="MCBRes" lockText="1" noThreeD="1"/>
</file>

<file path=xl/ctrlProps/ctrlProp3.xml><?xml version="1.0" encoding="utf-8"?>
<formControlPr xmlns="http://schemas.microsoft.com/office/spreadsheetml/2009/9/main" objectType="CheckBox" fmlaLink="A172" lockText="1" noThreeD="1"/>
</file>

<file path=xl/ctrlProps/ctrlProp4.xml><?xml version="1.0" encoding="utf-8"?>
<formControlPr xmlns="http://schemas.microsoft.com/office/spreadsheetml/2009/9/main" objectType="CheckBox" fmlaLink="A173" lockText="1" noThreeD="1"/>
</file>

<file path=xl/ctrlProps/ctrlProp5.xml><?xml version="1.0" encoding="utf-8"?>
<formControlPr xmlns="http://schemas.microsoft.com/office/spreadsheetml/2009/9/main" objectType="CheckBox" fmlaLink="RelatedPartyYes" lockText="1" noThreeD="1"/>
</file>

<file path=xl/ctrlProps/ctrlProp6.xml><?xml version="1.0" encoding="utf-8"?>
<formControlPr xmlns="http://schemas.microsoft.com/office/spreadsheetml/2009/9/main" objectType="CheckBox" fmlaLink="RelatedPartyNo" lockText="1" noThreeD="1"/>
</file>

<file path=xl/ctrlProps/ctrlProp7.xml><?xml version="1.0" encoding="utf-8"?>
<formControlPr xmlns="http://schemas.microsoft.com/office/spreadsheetml/2009/9/main" objectType="CheckBox" fmlaLink="MRCRes" lockText="1" noThreeD="1"/>
</file>

<file path=xl/ctrlProps/ctrlProp8.xml><?xml version="1.0" encoding="utf-8"?>
<formControlPr xmlns="http://schemas.microsoft.com/office/spreadsheetml/2009/9/main" objectType="CheckBox" fmlaLink="MoveInPending" lockText="1" noThreeD="1"/>
</file>

<file path=xl/ctrlProps/ctrlProp9.xml><?xml version="1.0" encoding="utf-8"?>
<formControlPr xmlns="http://schemas.microsoft.com/office/spreadsheetml/2009/9/main" objectType="CheckBox" fmlaLink="MoveInComplet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933450</xdr:colOff>
          <xdr:row>16</xdr:row>
          <xdr:rowOff>28575</xdr:rowOff>
        </xdr:from>
        <xdr:to>
          <xdr:col>7</xdr:col>
          <xdr:colOff>685800</xdr:colOff>
          <xdr:row>16</xdr:row>
          <xdr:rowOff>228600</xdr:rowOff>
        </xdr:to>
        <xdr:sp macro="" textlink="">
          <xdr:nvSpPr>
            <xdr:cNvPr id="3096" name="Check Box 24" hidden="1">
              <a:extLst>
                <a:ext uri="{63B3BB69-23CF-44E3-9099-C40C66FF867C}">
                  <a14:compatExt spid="_x0000_s3096"/>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rPr>
                <a:t>New 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16</xdr:row>
          <xdr:rowOff>57150</xdr:rowOff>
        </xdr:from>
        <xdr:to>
          <xdr:col>6</xdr:col>
          <xdr:colOff>9525</xdr:colOff>
          <xdr:row>16</xdr:row>
          <xdr:rowOff>200025</xdr:rowOff>
        </xdr:to>
        <xdr:sp macro="" textlink="">
          <xdr:nvSpPr>
            <xdr:cNvPr id="3097" name="Check Box 25" hidden="1">
              <a:extLst>
                <a:ext uri="{63B3BB69-23CF-44E3-9099-C40C66FF867C}">
                  <a14:compatExt spid="_x0000_s3097"/>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rPr>
                <a:t>Existing House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14</xdr:row>
          <xdr:rowOff>66675</xdr:rowOff>
        </xdr:from>
        <xdr:to>
          <xdr:col>12</xdr:col>
          <xdr:colOff>457200</xdr:colOff>
          <xdr:row>14</xdr:row>
          <xdr:rowOff>209550</xdr:rowOff>
        </xdr:to>
        <xdr:sp macro="" textlink="">
          <xdr:nvSpPr>
            <xdr:cNvPr id="3098" name="Check Box 26" hidden="1">
              <a:extLst>
                <a:ext uri="{63B3BB69-23CF-44E3-9099-C40C66FF867C}">
                  <a14:compatExt spid="_x0000_s3098"/>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552450</xdr:colOff>
          <xdr:row>14</xdr:row>
          <xdr:rowOff>47625</xdr:rowOff>
        </xdr:from>
        <xdr:to>
          <xdr:col>12</xdr:col>
          <xdr:colOff>1038225</xdr:colOff>
          <xdr:row>14</xdr:row>
          <xdr:rowOff>228600</xdr:rowOff>
        </xdr:to>
        <xdr:sp macro="" textlink="">
          <xdr:nvSpPr>
            <xdr:cNvPr id="3099" name="Check Box 27" hidden="1">
              <a:extLst>
                <a:ext uri="{63B3BB69-23CF-44E3-9099-C40C66FF867C}">
                  <a14:compatExt spid="_x0000_s3099"/>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79131</xdr:colOff>
          <xdr:row>16</xdr:row>
          <xdr:rowOff>7328</xdr:rowOff>
        </xdr:from>
        <xdr:to>
          <xdr:col>12</xdr:col>
          <xdr:colOff>434487</xdr:colOff>
          <xdr:row>17</xdr:row>
          <xdr:rowOff>1</xdr:rowOff>
        </xdr:to>
        <xdr:grpSp>
          <xdr:nvGrpSpPr>
            <xdr:cNvPr id="4" name="Group 3"/>
            <xdr:cNvGrpSpPr/>
          </xdr:nvGrpSpPr>
          <xdr:grpSpPr>
            <a:xfrm>
              <a:off x="8632581" y="3331553"/>
              <a:ext cx="2584206" cy="259373"/>
              <a:chOff x="9296395" y="3648809"/>
              <a:chExt cx="2428878" cy="256442"/>
            </a:xfrm>
          </xdr:grpSpPr>
          <xdr:sp macro="" textlink="">
            <xdr:nvSpPr>
              <xdr:cNvPr id="3119" name="Check Box 47" hidden="1">
                <a:extLst>
                  <a:ext uri="{63B3BB69-23CF-44E3-9099-C40C66FF867C}">
                    <a14:compatExt spid="_x0000_s3119"/>
                  </a:ext>
                </a:extLst>
              </xdr:cNvPr>
              <xdr:cNvSpPr/>
            </xdr:nvSpPr>
            <xdr:spPr>
              <a:xfrm>
                <a:off x="9296395" y="3648809"/>
                <a:ext cx="962025" cy="256442"/>
              </a:xfrm>
              <a:prstGeom prst="rect">
                <a:avLst/>
              </a:prstGeom>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rPr>
                  <a:t> Pending</a:t>
                </a:r>
              </a:p>
            </xdr:txBody>
          </xdr:sp>
          <xdr:sp macro="" textlink="">
            <xdr:nvSpPr>
              <xdr:cNvPr id="3120" name="Check Box 48" hidden="1">
                <a:extLst>
                  <a:ext uri="{63B3BB69-23CF-44E3-9099-C40C66FF867C}">
                    <a14:compatExt spid="_x0000_s3120"/>
                  </a:ext>
                </a:extLst>
              </xdr:cNvPr>
              <xdr:cNvSpPr/>
            </xdr:nvSpPr>
            <xdr:spPr>
              <a:xfrm>
                <a:off x="10763248" y="3648809"/>
                <a:ext cx="962025" cy="256442"/>
              </a:xfrm>
              <a:prstGeom prst="rect">
                <a:avLst/>
              </a:prstGeom>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rPr>
                  <a:t>Completed</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240796</xdr:colOff>
          <xdr:row>14</xdr:row>
          <xdr:rowOff>16852</xdr:rowOff>
        </xdr:from>
        <xdr:to>
          <xdr:col>7</xdr:col>
          <xdr:colOff>525082</xdr:colOff>
          <xdr:row>14</xdr:row>
          <xdr:rowOff>254977</xdr:rowOff>
        </xdr:to>
        <xdr:grpSp>
          <xdr:nvGrpSpPr>
            <xdr:cNvPr id="5" name="Group 4"/>
            <xdr:cNvGrpSpPr/>
          </xdr:nvGrpSpPr>
          <xdr:grpSpPr>
            <a:xfrm>
              <a:off x="3641221" y="2931502"/>
              <a:ext cx="2922711" cy="238125"/>
              <a:chOff x="3546523" y="2930381"/>
              <a:chExt cx="2928882" cy="238125"/>
            </a:xfrm>
          </xdr:grpSpPr>
          <xdr:sp macro="" textlink="">
            <xdr:nvSpPr>
              <xdr:cNvPr id="3121" name="Check Box 49" hidden="1">
                <a:extLst>
                  <a:ext uri="{63B3BB69-23CF-44E3-9099-C40C66FF867C}">
                    <a14:compatExt spid="_x0000_s3121"/>
                  </a:ext>
                </a:extLst>
              </xdr:cNvPr>
              <xdr:cNvSpPr/>
            </xdr:nvSpPr>
            <xdr:spPr>
              <a:xfrm>
                <a:off x="3546523" y="2930381"/>
                <a:ext cx="880404" cy="238125"/>
              </a:xfrm>
              <a:prstGeom prst="rect">
                <a:avLst/>
              </a:prstGeom>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rPr>
                  <a:t>Purchase</a:t>
                </a:r>
              </a:p>
            </xdr:txBody>
          </xdr:sp>
          <xdr:sp macro="" textlink="">
            <xdr:nvSpPr>
              <xdr:cNvPr id="3122" name="Check Box 50" hidden="1">
                <a:extLst>
                  <a:ext uri="{63B3BB69-23CF-44E3-9099-C40C66FF867C}">
                    <a14:compatExt spid="_x0000_s3122"/>
                  </a:ext>
                </a:extLst>
              </xdr:cNvPr>
              <xdr:cNvSpPr/>
            </xdr:nvSpPr>
            <xdr:spPr>
              <a:xfrm>
                <a:off x="4566407" y="2930381"/>
                <a:ext cx="880404" cy="238125"/>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Lease</a:t>
                </a:r>
              </a:p>
            </xdr:txBody>
          </xdr:sp>
          <xdr:sp macro="" textlink="">
            <xdr:nvSpPr>
              <xdr:cNvPr id="3123" name="Check Box 51" hidden="1">
                <a:extLst>
                  <a:ext uri="{63B3BB69-23CF-44E3-9099-C40C66FF867C}">
                    <a14:compatExt spid="_x0000_s3123"/>
                  </a:ext>
                </a:extLst>
              </xdr:cNvPr>
              <xdr:cNvSpPr/>
            </xdr:nvSpPr>
            <xdr:spPr>
              <a:xfrm>
                <a:off x="5594994" y="2930381"/>
                <a:ext cx="880411" cy="238125"/>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Capital Lease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5498</xdr:colOff>
          <xdr:row>5</xdr:row>
          <xdr:rowOff>21465</xdr:rowOff>
        </xdr:from>
        <xdr:to>
          <xdr:col>12</xdr:col>
          <xdr:colOff>1035675</xdr:colOff>
          <xdr:row>8</xdr:row>
          <xdr:rowOff>144887</xdr:rowOff>
        </xdr:to>
        <xdr:grpSp>
          <xdr:nvGrpSpPr>
            <xdr:cNvPr id="2" name="Group 1"/>
            <xdr:cNvGrpSpPr/>
          </xdr:nvGrpSpPr>
          <xdr:grpSpPr>
            <a:xfrm>
              <a:off x="10787798" y="1173990"/>
              <a:ext cx="1030177" cy="637772"/>
              <a:chOff x="10735209" y="1223475"/>
              <a:chExt cx="1030177" cy="638580"/>
            </a:xfrm>
          </xdr:grpSpPr>
          <xdr:sp macro="" textlink="">
            <xdr:nvSpPr>
              <xdr:cNvPr id="3088" name="Check Box 16" hidden="1">
                <a:extLst>
                  <a:ext uri="{63B3BB69-23CF-44E3-9099-C40C66FF867C}">
                    <a14:compatExt spid="_x0000_s3088"/>
                  </a:ext>
                </a:extLst>
              </xdr:cNvPr>
              <xdr:cNvSpPr/>
            </xdr:nvSpPr>
            <xdr:spPr>
              <a:xfrm>
                <a:off x="10735209" y="1223475"/>
                <a:ext cx="1030177" cy="140997"/>
              </a:xfrm>
              <a:prstGeom prst="rect">
                <a:avLst/>
              </a:prstGeom>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rPr>
                  <a:t> DDS 3153</a:t>
                </a:r>
              </a:p>
            </xdr:txBody>
          </xdr:sp>
          <xdr:sp macro="" textlink="">
            <xdr:nvSpPr>
              <xdr:cNvPr id="3090" name="Check Box 18" hidden="1">
                <a:extLst>
                  <a:ext uri="{63B3BB69-23CF-44E3-9099-C40C66FF867C}">
                    <a14:compatExt spid="_x0000_s3090"/>
                  </a:ext>
                </a:extLst>
              </xdr:cNvPr>
              <xdr:cNvSpPr/>
            </xdr:nvSpPr>
            <xdr:spPr>
              <a:xfrm>
                <a:off x="10735209" y="1555213"/>
                <a:ext cx="1030177" cy="140996"/>
              </a:xfrm>
              <a:prstGeom prst="rect">
                <a:avLst/>
              </a:prstGeom>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rPr>
                  <a:t> MCB</a:t>
                </a:r>
              </a:p>
            </xdr:txBody>
          </xdr:sp>
          <xdr:sp macro="" textlink="">
            <xdr:nvSpPr>
              <xdr:cNvPr id="3116" name="Check Box 44" hidden="1">
                <a:extLst>
                  <a:ext uri="{63B3BB69-23CF-44E3-9099-C40C66FF867C}">
                    <a14:compatExt spid="_x0000_s3116"/>
                  </a:ext>
                </a:extLst>
              </xdr:cNvPr>
              <xdr:cNvSpPr/>
            </xdr:nvSpPr>
            <xdr:spPr>
              <a:xfrm>
                <a:off x="10735209" y="1721059"/>
                <a:ext cx="1030177" cy="140996"/>
              </a:xfrm>
              <a:prstGeom prst="rect">
                <a:avLst/>
              </a:prstGeom>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rPr>
                  <a:t> MRC</a:t>
                </a:r>
              </a:p>
            </xdr:txBody>
          </xdr:sp>
          <xdr:sp macro="" textlink="">
            <xdr:nvSpPr>
              <xdr:cNvPr id="3125" name="Check Box 53" hidden="1">
                <a:extLst>
                  <a:ext uri="{63B3BB69-23CF-44E3-9099-C40C66FF867C}">
                    <a14:compatExt spid="_x0000_s3125"/>
                  </a:ext>
                </a:extLst>
              </xdr:cNvPr>
              <xdr:cNvSpPr/>
            </xdr:nvSpPr>
            <xdr:spPr>
              <a:xfrm>
                <a:off x="10735209" y="1389353"/>
                <a:ext cx="1030177" cy="140996"/>
              </a:xfrm>
              <a:prstGeom prst="rect">
                <a:avLst/>
              </a:prstGeom>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rPr>
                  <a:t> DDS ABI</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47625</xdr:rowOff>
        </xdr:from>
        <xdr:to>
          <xdr:col>12</xdr:col>
          <xdr:colOff>1143000</xdr:colOff>
          <xdr:row>25</xdr:row>
          <xdr:rowOff>219075</xdr:rowOff>
        </xdr:to>
        <xdr:sp macro="" textlink="">
          <xdr:nvSpPr>
            <xdr:cNvPr id="3128" name="Check Box 56" hidden="1">
              <a:extLst>
                <a:ext uri="{63B3BB69-23CF-44E3-9099-C40C66FF867C}">
                  <a14:compatExt spid="_x0000_s3128"/>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rPr>
                <a:t>Applied or Intend to apply for FCF</a:t>
              </a:r>
            </a:p>
          </xdr:txBody>
        </xdr:sp>
        <xdr:clientData fLocksWithSheet="0"/>
      </xdr:twoCellAnchor>
    </mc:Choice>
    <mc:Fallback/>
  </mc:AlternateContent>
</xdr:wsDr>
</file>

<file path=xl/tables/table1.xml><?xml version="1.0" encoding="utf-8"?>
<table xmlns="http://schemas.openxmlformats.org/spreadsheetml/2006/main" id="2" name="Table13" displayName="Table13" ref="J66:K69" totalsRowShown="0" headerRowDxfId="3" dataDxfId="2">
  <tableColumns count="2">
    <tableColumn id="1" name="Site Type Display" dataDxfId="1"/>
    <tableColumn id="2" name="DataVal"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3.bin"/><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www.mass.gov/courts/case-legal-res/law-lib/laws-by-source/cmr/800-899cmr/808cmr.html" TargetMode="External"/><Relationship Id="rId16" Type="http://schemas.openxmlformats.org/officeDocument/2006/relationships/ctrlProp" Target="../ctrlProps/ctrlProp11.xml"/><Relationship Id="rId1" Type="http://schemas.openxmlformats.org/officeDocument/2006/relationships/printerSettings" Target="../printerSettings/printerSettings2.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pageSetUpPr fitToPage="1"/>
  </sheetPr>
  <dimension ref="A3:V51"/>
  <sheetViews>
    <sheetView zoomScaleNormal="100" workbookViewId="0"/>
  </sheetViews>
  <sheetFormatPr defaultRowHeight="15.75" x14ac:dyDescent="0.25"/>
  <cols>
    <col min="1" max="1" width="4.5703125" style="223" customWidth="1"/>
    <col min="2" max="2" width="6" style="222" customWidth="1"/>
    <col min="3" max="3" width="5.5703125" style="224" customWidth="1"/>
    <col min="4" max="4" width="6" style="224" customWidth="1"/>
    <col min="5" max="5" width="129.85546875" style="224" customWidth="1"/>
    <col min="6" max="6" width="6.7109375" style="223" customWidth="1"/>
    <col min="7" max="12" width="9.140625" style="223"/>
    <col min="13" max="14" width="24" style="223" customWidth="1"/>
    <col min="15" max="15" width="9.140625" style="223"/>
    <col min="16" max="16" width="52.85546875" style="223" customWidth="1"/>
    <col min="17" max="16384" width="9.140625" style="223"/>
  </cols>
  <sheetData>
    <row r="3" spans="1:17" ht="15.75" customHeight="1" x14ac:dyDescent="0.25">
      <c r="B3" s="514" t="s">
        <v>576</v>
      </c>
      <c r="C3" s="514"/>
      <c r="D3" s="514"/>
      <c r="E3" s="514"/>
      <c r="F3" s="222"/>
      <c r="G3" s="222"/>
      <c r="H3" s="222"/>
      <c r="I3" s="222"/>
      <c r="J3" s="222"/>
      <c r="K3" s="222"/>
      <c r="L3" s="222"/>
      <c r="M3" s="222"/>
      <c r="N3" s="222"/>
      <c r="O3" s="222"/>
      <c r="P3" s="222"/>
      <c r="Q3" s="222"/>
    </row>
    <row r="4" spans="1:17" ht="15.75" customHeight="1" x14ac:dyDescent="0.25">
      <c r="B4" s="514" t="s">
        <v>575</v>
      </c>
      <c r="C4" s="514"/>
      <c r="D4" s="514"/>
      <c r="E4" s="514"/>
      <c r="F4" s="222"/>
      <c r="G4" s="222"/>
      <c r="H4" s="222"/>
      <c r="I4" s="222"/>
      <c r="J4" s="222"/>
      <c r="K4" s="222"/>
      <c r="L4" s="222"/>
      <c r="M4" s="222"/>
      <c r="N4" s="222"/>
      <c r="O4" s="222"/>
      <c r="P4" s="222"/>
      <c r="Q4" s="222"/>
    </row>
    <row r="5" spans="1:17" ht="15.75" customHeight="1" x14ac:dyDescent="0.25">
      <c r="B5" s="239"/>
      <c r="C5" s="239"/>
      <c r="D5" s="239"/>
      <c r="E5" s="239"/>
      <c r="F5" s="222"/>
      <c r="G5" s="222"/>
      <c r="H5" s="222"/>
      <c r="I5" s="222"/>
      <c r="J5" s="222"/>
      <c r="K5" s="222"/>
      <c r="L5" s="222"/>
      <c r="M5" s="222"/>
      <c r="N5" s="222"/>
      <c r="O5" s="222"/>
      <c r="P5" s="222"/>
      <c r="Q5" s="222"/>
    </row>
    <row r="6" spans="1:17" ht="15.75" customHeight="1" x14ac:dyDescent="0.25">
      <c r="B6" s="239"/>
      <c r="C6" s="239"/>
      <c r="D6" s="239"/>
      <c r="E6" s="239"/>
      <c r="F6" s="222"/>
      <c r="G6" s="222"/>
      <c r="H6" s="222"/>
      <c r="I6" s="222"/>
      <c r="J6" s="222"/>
      <c r="K6" s="222"/>
      <c r="L6" s="222"/>
      <c r="M6" s="222"/>
      <c r="N6" s="222"/>
      <c r="O6" s="222"/>
      <c r="P6" s="222"/>
      <c r="Q6" s="222"/>
    </row>
    <row r="7" spans="1:17" x14ac:dyDescent="0.25">
      <c r="F7" s="222"/>
      <c r="G7" s="222"/>
      <c r="H7" s="222"/>
      <c r="I7" s="222"/>
      <c r="J7" s="222"/>
      <c r="K7" s="222"/>
      <c r="L7" s="222"/>
      <c r="M7" s="222"/>
      <c r="N7" s="222"/>
      <c r="O7" s="222"/>
      <c r="P7" s="222"/>
      <c r="Q7" s="222"/>
    </row>
    <row r="8" spans="1:17" ht="28.5" customHeight="1" x14ac:dyDescent="0.25">
      <c r="B8" s="242" t="s">
        <v>577</v>
      </c>
      <c r="C8" s="225"/>
      <c r="D8" s="226"/>
      <c r="E8" s="227"/>
      <c r="F8" s="222"/>
      <c r="G8" s="222"/>
      <c r="H8" s="222"/>
      <c r="I8" s="222"/>
      <c r="J8" s="222"/>
      <c r="K8" s="222"/>
      <c r="L8" s="222"/>
      <c r="M8" s="222"/>
      <c r="N8" s="222"/>
      <c r="O8" s="222"/>
      <c r="P8" s="222"/>
      <c r="Q8" s="222"/>
    </row>
    <row r="9" spans="1:17" ht="31.5" customHeight="1" x14ac:dyDescent="0.25">
      <c r="B9" s="228" t="s">
        <v>80</v>
      </c>
      <c r="C9" s="506" t="s">
        <v>767</v>
      </c>
      <c r="D9" s="507"/>
      <c r="E9" s="508"/>
      <c r="F9" s="222"/>
      <c r="G9" s="222"/>
      <c r="H9" s="222"/>
      <c r="I9" s="222"/>
      <c r="J9" s="222"/>
      <c r="K9" s="222"/>
      <c r="L9" s="222"/>
      <c r="M9" s="222"/>
    </row>
    <row r="10" spans="1:17" s="230" customFormat="1" ht="19.5" customHeight="1" x14ac:dyDescent="0.25">
      <c r="B10" s="228" t="s">
        <v>80</v>
      </c>
      <c r="C10" s="509" t="s">
        <v>110</v>
      </c>
      <c r="D10" s="510"/>
      <c r="E10" s="511"/>
      <c r="F10" s="229"/>
      <c r="G10" s="229"/>
      <c r="H10" s="229"/>
      <c r="I10" s="229"/>
      <c r="J10" s="229"/>
      <c r="K10" s="229"/>
      <c r="L10" s="229"/>
      <c r="M10" s="229"/>
    </row>
    <row r="11" spans="1:17" ht="16.5" customHeight="1" x14ac:dyDescent="0.25">
      <c r="B11" s="231" t="s">
        <v>80</v>
      </c>
      <c r="C11" s="517" t="s">
        <v>99</v>
      </c>
      <c r="D11" s="517"/>
      <c r="E11" s="518"/>
      <c r="F11" s="222"/>
      <c r="G11" s="222"/>
      <c r="H11" s="222"/>
      <c r="I11" s="222"/>
      <c r="J11" s="222"/>
      <c r="K11" s="222"/>
      <c r="L11" s="222"/>
      <c r="M11" s="222"/>
    </row>
    <row r="12" spans="1:17" ht="34.5" customHeight="1" x14ac:dyDescent="0.25">
      <c r="B12" s="231" t="s">
        <v>80</v>
      </c>
      <c r="C12" s="517" t="s">
        <v>100</v>
      </c>
      <c r="D12" s="517"/>
      <c r="E12" s="518"/>
      <c r="F12" s="222"/>
      <c r="G12" s="222"/>
      <c r="H12" s="222"/>
      <c r="I12" s="222"/>
      <c r="J12" s="222"/>
      <c r="K12" s="222"/>
      <c r="L12" s="222"/>
      <c r="M12" s="222"/>
    </row>
    <row r="13" spans="1:17" ht="9.75" customHeight="1" x14ac:dyDescent="0.25">
      <c r="B13" s="231"/>
      <c r="C13" s="517"/>
      <c r="D13" s="517"/>
      <c r="E13" s="518"/>
      <c r="F13" s="222"/>
      <c r="G13" s="222"/>
      <c r="H13" s="222"/>
      <c r="I13" s="222"/>
      <c r="J13" s="222"/>
      <c r="K13" s="222"/>
      <c r="L13" s="222"/>
      <c r="M13" s="222"/>
      <c r="N13" s="222"/>
      <c r="O13" s="222"/>
      <c r="P13" s="222"/>
      <c r="Q13" s="222"/>
    </row>
    <row r="14" spans="1:17" s="230" customFormat="1" ht="34.5" customHeight="1" x14ac:dyDescent="0.25">
      <c r="B14" s="232" t="s">
        <v>80</v>
      </c>
      <c r="C14" s="519" t="s">
        <v>768</v>
      </c>
      <c r="D14" s="519"/>
      <c r="E14" s="520"/>
      <c r="F14" s="229"/>
      <c r="G14" s="229"/>
      <c r="H14" s="229"/>
      <c r="I14" s="229"/>
      <c r="J14" s="229"/>
      <c r="K14" s="229"/>
      <c r="L14" s="229"/>
      <c r="M14" s="229"/>
      <c r="N14" s="229"/>
      <c r="O14" s="229"/>
      <c r="P14" s="229"/>
      <c r="Q14" s="229"/>
    </row>
    <row r="15" spans="1:17" s="230" customFormat="1" ht="12" customHeight="1" x14ac:dyDescent="0.25">
      <c r="A15" s="291"/>
      <c r="B15" s="240"/>
      <c r="C15" s="241"/>
      <c r="D15" s="241"/>
      <c r="E15" s="241"/>
      <c r="F15" s="229"/>
      <c r="G15" s="229"/>
      <c r="H15" s="229"/>
      <c r="I15" s="229"/>
      <c r="J15" s="229"/>
      <c r="K15" s="229"/>
      <c r="L15" s="229"/>
      <c r="M15" s="229"/>
      <c r="N15" s="229"/>
      <c r="O15" s="229"/>
      <c r="P15" s="229"/>
      <c r="Q15" s="229"/>
    </row>
    <row r="16" spans="1:17" ht="8.25" customHeight="1" x14ac:dyDescent="0.25">
      <c r="F16" s="222"/>
      <c r="G16" s="222"/>
      <c r="H16" s="222"/>
      <c r="I16" s="222"/>
      <c r="J16" s="222"/>
      <c r="K16" s="222"/>
      <c r="L16" s="222"/>
      <c r="M16" s="222"/>
      <c r="N16" s="222"/>
      <c r="O16" s="222"/>
      <c r="P16" s="222"/>
      <c r="Q16" s="222"/>
    </row>
    <row r="17" spans="2:22" ht="30.75" customHeight="1" x14ac:dyDescent="0.25">
      <c r="B17" s="242" t="s">
        <v>101</v>
      </c>
      <c r="C17" s="225"/>
      <c r="D17" s="233"/>
      <c r="E17" s="227"/>
      <c r="F17" s="222"/>
      <c r="G17" s="222"/>
      <c r="H17" s="222"/>
      <c r="I17" s="222"/>
      <c r="J17" s="222"/>
      <c r="K17" s="222"/>
      <c r="L17" s="222"/>
      <c r="M17" s="222"/>
      <c r="N17" s="222"/>
      <c r="O17" s="222"/>
      <c r="P17" s="222"/>
      <c r="Q17" s="222"/>
    </row>
    <row r="18" spans="2:22" ht="50.25" customHeight="1" x14ac:dyDescent="0.25">
      <c r="B18" s="292" t="s">
        <v>1</v>
      </c>
      <c r="C18" s="515" t="s">
        <v>752</v>
      </c>
      <c r="D18" s="515"/>
      <c r="E18" s="516"/>
      <c r="F18" s="222"/>
      <c r="G18" s="222"/>
      <c r="H18" s="222"/>
      <c r="I18" s="222"/>
      <c r="J18" s="222"/>
    </row>
    <row r="19" spans="2:22" ht="84" customHeight="1" x14ac:dyDescent="0.25">
      <c r="B19" s="292" t="s">
        <v>2</v>
      </c>
      <c r="C19" s="524" t="s">
        <v>782</v>
      </c>
      <c r="D19" s="524"/>
      <c r="E19" s="525"/>
      <c r="F19" s="222"/>
      <c r="G19" s="222"/>
      <c r="H19" s="222"/>
      <c r="I19" s="222"/>
      <c r="J19" s="222"/>
    </row>
    <row r="20" spans="2:22" ht="63" customHeight="1" x14ac:dyDescent="0.25">
      <c r="B20" s="292" t="s">
        <v>9</v>
      </c>
      <c r="C20" s="522" t="s">
        <v>769</v>
      </c>
      <c r="D20" s="522"/>
      <c r="E20" s="523"/>
      <c r="F20" s="222"/>
      <c r="G20" s="222"/>
      <c r="H20" s="222"/>
      <c r="I20" s="222"/>
      <c r="J20" s="222"/>
    </row>
    <row r="21" spans="2:22" ht="63.75" customHeight="1" x14ac:dyDescent="0.25">
      <c r="B21" s="292" t="s">
        <v>10</v>
      </c>
      <c r="C21" s="515" t="s">
        <v>753</v>
      </c>
      <c r="D21" s="515"/>
      <c r="E21" s="516"/>
      <c r="F21" s="222"/>
      <c r="G21" s="222"/>
      <c r="H21" s="222"/>
      <c r="I21" s="222"/>
      <c r="J21" s="222"/>
      <c r="K21" s="234"/>
      <c r="N21" s="234"/>
      <c r="Q21" s="234"/>
    </row>
    <row r="22" spans="2:22" ht="86.25" customHeight="1" x14ac:dyDescent="0.25">
      <c r="B22" s="292" t="s">
        <v>11</v>
      </c>
      <c r="C22" s="506" t="s">
        <v>797</v>
      </c>
      <c r="D22" s="506"/>
      <c r="E22" s="521"/>
      <c r="F22" s="222"/>
      <c r="G22" s="222"/>
      <c r="H22" s="222"/>
      <c r="I22" s="222"/>
      <c r="J22" s="222"/>
    </row>
    <row r="23" spans="2:22" ht="164.25" customHeight="1" x14ac:dyDescent="0.25">
      <c r="B23" s="293" t="s">
        <v>12</v>
      </c>
      <c r="C23" s="512" t="s">
        <v>770</v>
      </c>
      <c r="D23" s="512"/>
      <c r="E23" s="513"/>
      <c r="F23" s="222"/>
      <c r="G23" s="222"/>
      <c r="H23" s="222"/>
      <c r="I23" s="222"/>
      <c r="J23" s="222"/>
    </row>
    <row r="24" spans="2:22" ht="54.75" customHeight="1" x14ac:dyDescent="0.25">
      <c r="B24" s="294" t="s">
        <v>14</v>
      </c>
      <c r="C24" s="512" t="s">
        <v>771</v>
      </c>
      <c r="D24" s="512"/>
      <c r="E24" s="513"/>
      <c r="F24" s="222"/>
      <c r="G24" s="222"/>
      <c r="H24" s="222"/>
      <c r="I24" s="222"/>
      <c r="J24" s="222"/>
    </row>
    <row r="25" spans="2:22" ht="39" customHeight="1" x14ac:dyDescent="0.25">
      <c r="B25" s="293" t="s">
        <v>70</v>
      </c>
      <c r="C25" s="515" t="s">
        <v>106</v>
      </c>
      <c r="D25" s="515"/>
      <c r="E25" s="516"/>
      <c r="F25" s="235"/>
      <c r="G25" s="235"/>
      <c r="H25" s="235"/>
      <c r="I25" s="235"/>
      <c r="J25" s="235"/>
    </row>
    <row r="26" spans="2:22" ht="37.5" customHeight="1" x14ac:dyDescent="0.25">
      <c r="B26" s="293" t="s">
        <v>102</v>
      </c>
      <c r="C26" s="515" t="s">
        <v>107</v>
      </c>
      <c r="D26" s="515"/>
      <c r="E26" s="516"/>
      <c r="F26" s="222"/>
      <c r="G26" s="222"/>
      <c r="H26" s="222"/>
      <c r="I26" s="222"/>
      <c r="J26" s="222"/>
    </row>
    <row r="27" spans="2:22" ht="21" customHeight="1" x14ac:dyDescent="0.25">
      <c r="B27" s="237"/>
      <c r="F27" s="222"/>
      <c r="G27" s="222"/>
      <c r="H27" s="222"/>
      <c r="I27" s="222"/>
      <c r="J27" s="222"/>
    </row>
    <row r="28" spans="2:22" ht="48" customHeight="1" x14ac:dyDescent="0.25">
      <c r="B28" s="237"/>
      <c r="F28" s="222"/>
      <c r="G28" s="222"/>
      <c r="H28" s="222"/>
      <c r="I28" s="222"/>
      <c r="J28" s="222"/>
      <c r="K28" s="236"/>
    </row>
    <row r="29" spans="2:22" ht="54" customHeight="1" x14ac:dyDescent="0.25">
      <c r="B29" s="237"/>
      <c r="E29" s="432"/>
      <c r="F29" s="222"/>
      <c r="G29" s="222"/>
      <c r="H29" s="222"/>
      <c r="I29" s="222"/>
      <c r="J29" s="222"/>
      <c r="K29" s="222"/>
      <c r="L29" s="222"/>
      <c r="M29" s="222"/>
      <c r="N29" s="222"/>
      <c r="O29" s="222"/>
      <c r="P29" s="222"/>
      <c r="Q29" s="222"/>
    </row>
    <row r="30" spans="2:22" ht="46.5" customHeight="1" x14ac:dyDescent="0.25">
      <c r="B30" s="237"/>
      <c r="F30" s="222"/>
      <c r="G30" s="222"/>
      <c r="H30" s="222"/>
      <c r="I30" s="222"/>
      <c r="J30" s="222"/>
      <c r="K30" s="222"/>
      <c r="L30" s="222"/>
      <c r="M30" s="222"/>
      <c r="N30" s="222"/>
      <c r="O30" s="222"/>
      <c r="P30" s="222"/>
      <c r="Q30" s="222"/>
    </row>
    <row r="31" spans="2:22" ht="108.75" customHeight="1" x14ac:dyDescent="0.25">
      <c r="B31" s="237"/>
      <c r="F31" s="235"/>
      <c r="G31" s="235"/>
      <c r="H31" s="235"/>
      <c r="I31" s="235"/>
      <c r="J31" s="235"/>
      <c r="K31" s="235"/>
      <c r="L31" s="235"/>
      <c r="M31" s="235"/>
      <c r="N31" s="235"/>
      <c r="O31" s="235"/>
      <c r="P31" s="235"/>
      <c r="Q31" s="235"/>
      <c r="R31" s="235"/>
      <c r="S31" s="235"/>
      <c r="T31" s="235"/>
      <c r="U31" s="235"/>
      <c r="V31" s="235"/>
    </row>
    <row r="32" spans="2:22" ht="47.25" customHeight="1" x14ac:dyDescent="0.25">
      <c r="B32" s="237"/>
      <c r="F32" s="222"/>
      <c r="G32" s="222"/>
      <c r="H32" s="222"/>
      <c r="I32" s="222"/>
      <c r="J32" s="222"/>
      <c r="K32" s="222"/>
      <c r="L32" s="222"/>
      <c r="M32" s="222"/>
      <c r="N32" s="222"/>
      <c r="O32" s="222"/>
      <c r="P32" s="222"/>
      <c r="Q32" s="222"/>
    </row>
    <row r="33" spans="2:17" ht="30.75" customHeight="1" x14ac:dyDescent="0.25">
      <c r="B33" s="237"/>
      <c r="F33" s="222"/>
      <c r="G33" s="222"/>
      <c r="H33" s="222"/>
      <c r="I33" s="222"/>
      <c r="J33" s="222"/>
      <c r="K33" s="222"/>
      <c r="L33" s="222"/>
      <c r="M33" s="222"/>
      <c r="N33" s="222"/>
      <c r="O33" s="222"/>
      <c r="P33" s="222"/>
      <c r="Q33" s="222"/>
    </row>
    <row r="34" spans="2:17" x14ac:dyDescent="0.25">
      <c r="B34" s="237"/>
      <c r="F34" s="222"/>
      <c r="G34" s="222"/>
      <c r="H34" s="222"/>
      <c r="I34" s="222"/>
      <c r="J34" s="222"/>
      <c r="K34" s="222"/>
      <c r="L34" s="222"/>
      <c r="M34" s="222"/>
      <c r="N34" s="222"/>
      <c r="O34" s="222"/>
      <c r="P34" s="222"/>
      <c r="Q34" s="222"/>
    </row>
    <row r="35" spans="2:17" x14ac:dyDescent="0.25">
      <c r="B35" s="237"/>
      <c r="F35" s="222"/>
      <c r="G35" s="222"/>
      <c r="H35" s="222"/>
      <c r="I35" s="222"/>
      <c r="J35" s="222"/>
      <c r="K35" s="222"/>
      <c r="L35" s="222"/>
      <c r="M35" s="222"/>
      <c r="N35" s="222"/>
      <c r="O35" s="222"/>
      <c r="P35" s="222"/>
      <c r="Q35" s="222"/>
    </row>
    <row r="36" spans="2:17" x14ac:dyDescent="0.25">
      <c r="B36" s="238"/>
      <c r="F36" s="222"/>
      <c r="G36" s="222"/>
      <c r="H36" s="222"/>
      <c r="I36" s="222"/>
      <c r="J36" s="222"/>
      <c r="K36" s="222"/>
      <c r="L36" s="222"/>
      <c r="M36" s="222"/>
      <c r="N36" s="222"/>
      <c r="O36" s="222"/>
      <c r="P36" s="222"/>
      <c r="Q36" s="222"/>
    </row>
    <row r="37" spans="2:17" x14ac:dyDescent="0.25">
      <c r="B37" s="238"/>
      <c r="F37" s="222"/>
      <c r="G37" s="222"/>
      <c r="H37" s="222"/>
      <c r="I37" s="222"/>
      <c r="J37" s="222"/>
      <c r="K37" s="222"/>
      <c r="L37" s="222"/>
      <c r="M37" s="222"/>
      <c r="N37" s="222"/>
      <c r="O37" s="222"/>
      <c r="P37" s="222"/>
      <c r="Q37" s="222"/>
    </row>
    <row r="38" spans="2:17" x14ac:dyDescent="0.25">
      <c r="B38" s="238"/>
      <c r="F38" s="222"/>
      <c r="G38" s="222"/>
      <c r="H38" s="222"/>
      <c r="I38" s="222"/>
      <c r="J38" s="222"/>
      <c r="K38" s="222"/>
      <c r="L38" s="222"/>
      <c r="M38" s="222"/>
      <c r="N38" s="222"/>
      <c r="O38" s="222"/>
      <c r="P38" s="222"/>
      <c r="Q38" s="222"/>
    </row>
    <row r="39" spans="2:17" x14ac:dyDescent="0.25">
      <c r="B39" s="238"/>
      <c r="F39" s="222"/>
      <c r="G39" s="222"/>
      <c r="H39" s="222"/>
      <c r="I39" s="222"/>
      <c r="J39" s="222"/>
      <c r="K39" s="222"/>
      <c r="L39" s="222"/>
      <c r="M39" s="222"/>
      <c r="N39" s="222"/>
      <c r="O39" s="222"/>
      <c r="P39" s="222"/>
      <c r="Q39" s="222"/>
    </row>
    <row r="40" spans="2:17" x14ac:dyDescent="0.25">
      <c r="B40" s="238"/>
      <c r="F40" s="222"/>
      <c r="G40" s="222"/>
      <c r="H40" s="222"/>
      <c r="I40" s="222"/>
      <c r="J40" s="222"/>
      <c r="K40" s="222"/>
      <c r="L40" s="222"/>
      <c r="M40" s="222"/>
      <c r="N40" s="222"/>
      <c r="O40" s="222"/>
      <c r="P40" s="222"/>
      <c r="Q40" s="222"/>
    </row>
    <row r="41" spans="2:17" x14ac:dyDescent="0.25">
      <c r="B41" s="238"/>
      <c r="F41" s="222"/>
      <c r="G41" s="222"/>
      <c r="H41" s="222"/>
      <c r="I41" s="222"/>
      <c r="J41" s="222"/>
      <c r="K41" s="222"/>
      <c r="L41" s="222"/>
      <c r="M41" s="222"/>
      <c r="N41" s="222"/>
      <c r="O41" s="222"/>
      <c r="P41" s="222"/>
      <c r="Q41" s="222"/>
    </row>
    <row r="42" spans="2:17" x14ac:dyDescent="0.25">
      <c r="B42" s="238"/>
      <c r="F42" s="222"/>
      <c r="G42" s="222"/>
      <c r="H42" s="222"/>
      <c r="I42" s="222"/>
      <c r="J42" s="222"/>
      <c r="K42" s="222"/>
      <c r="L42" s="222"/>
      <c r="M42" s="222"/>
      <c r="N42" s="222"/>
      <c r="O42" s="222"/>
      <c r="P42" s="222"/>
      <c r="Q42" s="222"/>
    </row>
    <row r="43" spans="2:17" x14ac:dyDescent="0.25">
      <c r="B43" s="238"/>
      <c r="F43" s="222"/>
      <c r="G43" s="222"/>
      <c r="H43" s="222"/>
      <c r="I43" s="222"/>
      <c r="J43" s="222"/>
      <c r="K43" s="222"/>
      <c r="L43" s="222"/>
      <c r="M43" s="222"/>
      <c r="N43" s="222"/>
      <c r="O43" s="222"/>
      <c r="P43" s="222"/>
      <c r="Q43" s="222"/>
    </row>
    <row r="44" spans="2:17" x14ac:dyDescent="0.25">
      <c r="B44" s="238"/>
      <c r="F44" s="222"/>
      <c r="G44" s="222"/>
      <c r="H44" s="222"/>
      <c r="I44" s="222"/>
      <c r="J44" s="222"/>
      <c r="K44" s="222"/>
      <c r="L44" s="222"/>
      <c r="M44" s="222"/>
      <c r="N44" s="222"/>
      <c r="O44" s="222"/>
      <c r="P44" s="222"/>
      <c r="Q44" s="222"/>
    </row>
    <row r="45" spans="2:17" x14ac:dyDescent="0.25">
      <c r="B45" s="238"/>
      <c r="F45" s="222"/>
      <c r="G45" s="222"/>
      <c r="H45" s="222"/>
      <c r="I45" s="222"/>
      <c r="J45" s="222"/>
      <c r="K45" s="222"/>
      <c r="L45" s="222"/>
      <c r="M45" s="222"/>
      <c r="N45" s="222"/>
      <c r="O45" s="222"/>
      <c r="P45" s="222"/>
      <c r="Q45" s="222"/>
    </row>
    <row r="46" spans="2:17" x14ac:dyDescent="0.25">
      <c r="B46" s="238"/>
      <c r="F46" s="222"/>
      <c r="G46" s="222"/>
      <c r="H46" s="222"/>
      <c r="I46" s="222"/>
      <c r="J46" s="222"/>
      <c r="K46" s="222"/>
      <c r="L46" s="222"/>
      <c r="M46" s="222"/>
      <c r="N46" s="222"/>
      <c r="O46" s="222"/>
      <c r="P46" s="222"/>
      <c r="Q46" s="222"/>
    </row>
    <row r="47" spans="2:17" x14ac:dyDescent="0.25">
      <c r="F47" s="222"/>
      <c r="G47" s="222"/>
      <c r="H47" s="222"/>
      <c r="I47" s="222"/>
      <c r="J47" s="222"/>
      <c r="K47" s="222"/>
      <c r="L47" s="222"/>
      <c r="M47" s="222"/>
      <c r="N47" s="222"/>
      <c r="O47" s="222"/>
      <c r="P47" s="222"/>
      <c r="Q47" s="222"/>
    </row>
    <row r="48" spans="2:17" x14ac:dyDescent="0.25">
      <c r="F48" s="222"/>
      <c r="G48" s="222"/>
      <c r="H48" s="222"/>
      <c r="I48" s="222"/>
      <c r="J48" s="222"/>
      <c r="K48" s="222"/>
      <c r="L48" s="222"/>
      <c r="M48" s="222"/>
      <c r="N48" s="222"/>
      <c r="O48" s="222"/>
      <c r="P48" s="222"/>
      <c r="Q48" s="222"/>
    </row>
    <row r="49" spans="6:17" x14ac:dyDescent="0.25">
      <c r="F49" s="222"/>
      <c r="G49" s="222"/>
      <c r="H49" s="222"/>
      <c r="I49" s="222"/>
      <c r="J49" s="222"/>
      <c r="K49" s="222"/>
      <c r="L49" s="222"/>
      <c r="M49" s="222"/>
      <c r="N49" s="222"/>
      <c r="O49" s="222"/>
      <c r="P49" s="222"/>
      <c r="Q49" s="222"/>
    </row>
    <row r="50" spans="6:17" x14ac:dyDescent="0.25">
      <c r="F50" s="222"/>
      <c r="G50" s="222"/>
      <c r="H50" s="222"/>
      <c r="I50" s="222"/>
      <c r="J50" s="222"/>
      <c r="K50" s="222"/>
      <c r="L50" s="222"/>
      <c r="M50" s="222"/>
      <c r="N50" s="222"/>
      <c r="O50" s="222"/>
      <c r="P50" s="222"/>
      <c r="Q50" s="222"/>
    </row>
    <row r="51" spans="6:17" x14ac:dyDescent="0.25">
      <c r="F51" s="222"/>
      <c r="G51" s="222"/>
      <c r="H51" s="222"/>
      <c r="I51" s="222"/>
      <c r="J51" s="222"/>
      <c r="K51" s="222"/>
      <c r="L51" s="222"/>
      <c r="M51" s="222"/>
      <c r="N51" s="222"/>
      <c r="O51" s="222"/>
      <c r="P51" s="222"/>
      <c r="Q51" s="222"/>
    </row>
  </sheetData>
  <sheetProtection password="DBEC" sheet="1" objects="1" scenarios="1"/>
  <mergeCells count="17">
    <mergeCell ref="C26:E26"/>
    <mergeCell ref="C11:E11"/>
    <mergeCell ref="C12:E12"/>
    <mergeCell ref="C13:E13"/>
    <mergeCell ref="C25:E25"/>
    <mergeCell ref="C24:E24"/>
    <mergeCell ref="C14:E14"/>
    <mergeCell ref="C18:E18"/>
    <mergeCell ref="C22:E22"/>
    <mergeCell ref="C21:E21"/>
    <mergeCell ref="C20:E20"/>
    <mergeCell ref="C19:E19"/>
    <mergeCell ref="C9:E9"/>
    <mergeCell ref="C10:E10"/>
    <mergeCell ref="C23:E23"/>
    <mergeCell ref="B3:E3"/>
    <mergeCell ref="B4:E4"/>
  </mergeCells>
  <pageMargins left="0.45" right="0.45" top="0.25" bottom="0.25" header="0.3" footer="0.3"/>
  <pageSetup scale="65" fitToHeight="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A1:AH201"/>
  <sheetViews>
    <sheetView tabSelected="1" zoomScaleNormal="100" workbookViewId="0">
      <pane ySplit="2" topLeftCell="A3" activePane="bottomLeft" state="frozen"/>
      <selection activeCell="H1" sqref="H1"/>
      <selection pane="bottomLeft" activeCell="C57" sqref="C57:F61"/>
    </sheetView>
  </sheetViews>
  <sheetFormatPr defaultRowHeight="12.75" x14ac:dyDescent="0.2"/>
  <cols>
    <col min="1" max="1" width="6.5703125" style="246" customWidth="1"/>
    <col min="2" max="2" width="4.140625" style="57" customWidth="1"/>
    <col min="3" max="3" width="25.140625" style="57" customWidth="1"/>
    <col min="4" max="4" width="15.140625" style="57" customWidth="1"/>
    <col min="5" max="5" width="5.7109375" style="57" customWidth="1"/>
    <col min="6" max="6" width="14.42578125" style="57" customWidth="1"/>
    <col min="7" max="7" width="19.42578125" style="57" customWidth="1"/>
    <col min="8" max="8" width="11.140625" style="57" customWidth="1"/>
    <col min="9" max="9" width="9.42578125" style="57" customWidth="1"/>
    <col min="10" max="10" width="17.140625" style="57" customWidth="1"/>
    <col min="11" max="11" width="17.85546875" style="57" customWidth="1"/>
    <col min="12" max="12" width="15.5703125" style="57" customWidth="1"/>
    <col min="13" max="13" width="17.5703125" style="57" customWidth="1"/>
    <col min="14" max="14" width="11.42578125" style="67" hidden="1" customWidth="1"/>
    <col min="15" max="16" width="15.140625" style="57" hidden="1" customWidth="1"/>
    <col min="17" max="17" width="9.28515625" style="57" hidden="1" customWidth="1"/>
    <col min="18" max="18" width="6.5703125" style="57" hidden="1" customWidth="1"/>
    <col min="19" max="19" width="10" style="422" hidden="1" customWidth="1"/>
    <col min="20" max="20" width="13.7109375" style="57" hidden="1" customWidth="1"/>
    <col min="21" max="21" width="14.42578125" style="57" hidden="1" customWidth="1"/>
    <col min="22" max="22" width="57.140625" style="57" hidden="1" customWidth="1"/>
    <col min="23" max="24" width="9.140625" style="57" hidden="1" customWidth="1"/>
    <col min="25" max="25" width="14.28515625" style="57" hidden="1" customWidth="1"/>
    <col min="26" max="26" width="9.140625" style="57" hidden="1" customWidth="1"/>
    <col min="27" max="31" width="9.140625" style="57" customWidth="1"/>
    <col min="32" max="16384" width="9.140625" style="57"/>
  </cols>
  <sheetData>
    <row r="1" spans="1:25" s="80" customFormat="1" ht="36.75" customHeight="1" x14ac:dyDescent="0.25">
      <c r="A1" s="306"/>
      <c r="B1" s="307"/>
      <c r="C1" s="574" t="s">
        <v>799</v>
      </c>
      <c r="D1" s="575"/>
      <c r="E1" s="575"/>
      <c r="F1" s="575"/>
      <c r="G1" s="575"/>
      <c r="H1" s="575"/>
      <c r="I1" s="575"/>
      <c r="J1" s="575"/>
      <c r="K1" s="575"/>
      <c r="L1" s="575"/>
      <c r="M1" s="576"/>
      <c r="N1" s="302"/>
      <c r="O1" s="301"/>
      <c r="P1" s="301"/>
      <c r="Q1" s="301"/>
      <c r="R1" s="301"/>
      <c r="T1" s="301"/>
      <c r="U1" s="300"/>
      <c r="V1" s="300"/>
      <c r="W1" s="300"/>
      <c r="X1" s="300"/>
      <c r="Y1" s="300"/>
    </row>
    <row r="2" spans="1:25" s="300" customFormat="1" ht="16.5" customHeight="1" thickBot="1" x14ac:dyDescent="0.3">
      <c r="A2" s="303"/>
      <c r="B2" s="304"/>
      <c r="C2" s="604" t="s">
        <v>798</v>
      </c>
      <c r="D2" s="605"/>
      <c r="E2" s="605"/>
      <c r="F2" s="605"/>
      <c r="G2" s="605"/>
      <c r="H2" s="605"/>
      <c r="I2" s="605"/>
      <c r="J2" s="605"/>
      <c r="K2" s="605"/>
      <c r="L2" s="605"/>
      <c r="M2" s="606"/>
      <c r="N2" s="305"/>
      <c r="O2" s="301"/>
      <c r="P2" s="301"/>
      <c r="Q2" s="301"/>
      <c r="R2" s="301"/>
      <c r="S2" s="420" t="s">
        <v>754</v>
      </c>
      <c r="T2" s="301"/>
    </row>
    <row r="3" spans="1:25" ht="12.75" customHeight="1" x14ac:dyDescent="0.25">
      <c r="A3" s="245"/>
      <c r="B3" s="107"/>
      <c r="C3" s="2"/>
      <c r="D3" s="59"/>
      <c r="E3" s="59"/>
      <c r="F3" s="59"/>
      <c r="G3" s="59"/>
      <c r="H3" s="59"/>
      <c r="I3" s="59"/>
      <c r="J3" s="59"/>
      <c r="K3" s="637" t="s">
        <v>747</v>
      </c>
      <c r="L3" s="638"/>
      <c r="M3" s="505" t="str">
        <f>IF(LEN(L4)&lt;1,"select from list"," ")</f>
        <v>select from list</v>
      </c>
      <c r="N3" s="59"/>
    </row>
    <row r="4" spans="1:25" ht="18" customHeight="1" x14ac:dyDescent="0.3">
      <c r="B4" s="108" t="s">
        <v>1</v>
      </c>
      <c r="C4" s="277" t="s">
        <v>76</v>
      </c>
      <c r="D4" s="616"/>
      <c r="E4" s="617"/>
      <c r="F4" s="166" t="str">
        <f>IF(LEN(D4)&lt;1,"&lt;-------","")</f>
        <v>&lt;-------</v>
      </c>
      <c r="G4" s="275" t="s">
        <v>66</v>
      </c>
      <c r="H4" s="597"/>
      <c r="I4" s="598"/>
      <c r="J4" s="599"/>
      <c r="K4" s="166" t="str">
        <f>IF(LEN(H4)&lt;1,"&lt;-------","")</f>
        <v>&lt;-------</v>
      </c>
      <c r="L4" s="639"/>
      <c r="M4" s="640"/>
      <c r="N4" s="129"/>
    </row>
    <row r="5" spans="1:25" s="61" customFormat="1" ht="6.75" customHeight="1" x14ac:dyDescent="0.3">
      <c r="A5" s="247"/>
      <c r="B5" s="56"/>
      <c r="C5" s="60"/>
      <c r="D5" s="60"/>
      <c r="G5" s="56"/>
      <c r="L5" s="60"/>
      <c r="M5" s="60"/>
      <c r="O5" s="78"/>
      <c r="S5" s="422"/>
    </row>
    <row r="6" spans="1:25" ht="11.25" customHeight="1" x14ac:dyDescent="0.2">
      <c r="B6" s="173"/>
      <c r="G6" s="58"/>
      <c r="H6" s="58"/>
      <c r="I6" s="58"/>
      <c r="J6" s="58"/>
      <c r="L6" s="660" t="str">
        <f>IF(DDSRes+DDSABI+MCBRes+MRCRes=0,"Select One Contract Type",IF(DDSRes+DDSABI+MCBRes+MRCRes&gt;1,"Error: Please"&amp;Break&amp;"select ONE-&gt;",""))</f>
        <v>Select One Contract Type</v>
      </c>
      <c r="M6" s="162"/>
      <c r="N6" s="25"/>
    </row>
    <row r="7" spans="1:25" ht="18.75" customHeight="1" x14ac:dyDescent="0.2">
      <c r="B7" s="119"/>
      <c r="C7" s="277" t="s">
        <v>69</v>
      </c>
      <c r="D7" s="597"/>
      <c r="E7" s="598"/>
      <c r="F7" s="599"/>
      <c r="G7" s="167" t="str">
        <f>IF(LEN(ProviderName)&lt;2,"&lt;----","")&amp;IF(LEN(Engagement)&lt;&gt;20,"----&gt;"," ")</f>
        <v>&lt;--------&gt;</v>
      </c>
      <c r="H7" s="600" t="s">
        <v>105</v>
      </c>
      <c r="I7" s="601"/>
      <c r="J7" s="580"/>
      <c r="K7" s="581"/>
      <c r="L7" s="661"/>
      <c r="M7" s="163"/>
      <c r="N7" s="205"/>
      <c r="T7" s="262"/>
    </row>
    <row r="8" spans="1:25" s="173" customFormat="1" ht="10.5" customHeight="1" x14ac:dyDescent="0.2">
      <c r="A8" s="248"/>
      <c r="G8" s="59"/>
      <c r="H8" s="59"/>
      <c r="I8" s="59"/>
      <c r="J8" s="531" t="str">
        <f>IF(ISBLANK(Engagement), "Enter Engagement #", IF( LEN(TRIM(Engagement)) = 20,"",  "Engagement # must be 20 characters" ))</f>
        <v>Enter Engagement #</v>
      </c>
      <c r="K8" s="532"/>
      <c r="L8" s="533" t="str">
        <f>IF(H10 = "MA",IF(ISBLANK(E10),"",IF(IF(ISERROR(VLOOKUP(E10,'Geographic Lookups &amp; Caps'!A3:A353,1,FALSE)),H10&lt;&gt;"MA",H10="MA"),"","Enter an official town  &lt;----  in MA and set the state to 'MA', or enter a different state.")),"")</f>
        <v/>
      </c>
      <c r="M8" s="163"/>
      <c r="N8" s="62"/>
      <c r="S8" s="423"/>
      <c r="T8" s="57"/>
    </row>
    <row r="9" spans="1:25" ht="15" customHeight="1" x14ac:dyDescent="0.3">
      <c r="B9" s="4" t="s">
        <v>2</v>
      </c>
      <c r="C9" s="3" t="s">
        <v>24</v>
      </c>
      <c r="D9" s="274" t="s">
        <v>25</v>
      </c>
      <c r="E9" s="536"/>
      <c r="F9" s="594"/>
      <c r="G9" s="594"/>
      <c r="H9" s="594"/>
      <c r="I9" s="594"/>
      <c r="J9" s="537"/>
      <c r="K9" s="77" t="str">
        <f>IF(LEN(E9)&lt;3,"&lt;-----","")</f>
        <v>&lt;-----</v>
      </c>
      <c r="L9" s="534"/>
      <c r="M9" s="244"/>
      <c r="N9" s="25"/>
    </row>
    <row r="10" spans="1:25" ht="15.75" customHeight="1" x14ac:dyDescent="0.3">
      <c r="B10" s="173"/>
      <c r="C10" s="130" t="str">
        <f>IF(LEN(E10)&lt;3,"-----&gt;","")</f>
        <v>-----&gt;</v>
      </c>
      <c r="D10" s="274" t="s">
        <v>64</v>
      </c>
      <c r="E10" s="536"/>
      <c r="F10" s="537"/>
      <c r="G10" s="276" t="s">
        <v>487</v>
      </c>
      <c r="H10" s="161"/>
      <c r="I10" s="278" t="s">
        <v>65</v>
      </c>
      <c r="J10" s="279"/>
      <c r="K10" s="462" t="str">
        <f>IF(LEN(J10)&lt;&gt;5,"&lt;--- 5 chars.","")</f>
        <v>&lt;--- 5 chars.</v>
      </c>
      <c r="L10" s="534"/>
      <c r="M10" s="132"/>
      <c r="N10" s="25"/>
    </row>
    <row r="11" spans="1:25" ht="15.75" x14ac:dyDescent="0.25">
      <c r="B11" s="173"/>
      <c r="D11" s="274" t="s">
        <v>118</v>
      </c>
      <c r="E11" s="557"/>
      <c r="F11" s="582"/>
      <c r="G11" s="281" t="str">
        <f>IF(LEN(E11)&lt;1,"&lt;-- Select Type","")</f>
        <v>&lt;-- Select Type</v>
      </c>
      <c r="I11" s="278" t="s">
        <v>545</v>
      </c>
      <c r="J11" s="117" t="str">
        <f>IF(H10= "MA",IF(ISERROR(VLOOKUP(E10,'Geographic Lookups &amp; Caps'!A3:B353,2,FALSE)), "", VLOOKUP(E10,'Geographic Lookups &amp; Caps'!A3:B353,2,)),"")</f>
        <v/>
      </c>
      <c r="L11" s="534"/>
      <c r="M11" s="5"/>
      <c r="N11" s="63"/>
      <c r="T11" s="25"/>
    </row>
    <row r="12" spans="1:25" ht="19.5" customHeight="1" x14ac:dyDescent="0.2">
      <c r="B12" s="173"/>
      <c r="C12" s="64"/>
      <c r="D12" s="64"/>
      <c r="E12" s="64"/>
      <c r="F12" s="64"/>
      <c r="G12" s="64"/>
      <c r="H12" s="64"/>
      <c r="J12" s="64"/>
      <c r="K12" s="64"/>
      <c r="L12" s="535"/>
      <c r="N12" s="5"/>
      <c r="T12" s="262"/>
    </row>
    <row r="13" spans="1:25" s="86" customFormat="1" ht="19.5" customHeight="1" x14ac:dyDescent="0.25">
      <c r="A13" s="249"/>
      <c r="B13" s="8" t="s">
        <v>9</v>
      </c>
      <c r="C13" s="268" t="s">
        <v>68</v>
      </c>
      <c r="D13" s="161"/>
      <c r="E13" s="166" t="str">
        <f>IF(TotalCapacity &gt;=1, "", "&lt;------")</f>
        <v>&lt;------</v>
      </c>
      <c r="F13" s="141"/>
      <c r="G13" s="142"/>
      <c r="H13" s="280" t="s">
        <v>645</v>
      </c>
      <c r="I13" s="161"/>
      <c r="J13" s="165" t="str">
        <f>IF(I13&gt;=1,"", "&lt;-----")</f>
        <v>&lt;-----</v>
      </c>
      <c r="K13" s="583" t="str">
        <f xml:space="preserve"> IF(ISBLANK(TotalCapacity), "",  IF(ALTRCapacity&gt;TotalCapacity,"&lt;---------EXCEEDS TOTAL CAPACITY!",""))</f>
        <v/>
      </c>
      <c r="L13" s="583"/>
      <c r="M13" s="583"/>
      <c r="S13" s="424"/>
    </row>
    <row r="14" spans="1:25" ht="12.75" customHeight="1" x14ac:dyDescent="0.2">
      <c r="B14" s="173"/>
      <c r="C14" s="63"/>
      <c r="D14" s="58"/>
      <c r="E14" s="58"/>
      <c r="F14" s="58"/>
      <c r="G14" s="58"/>
      <c r="H14" s="58"/>
      <c r="I14" s="58"/>
      <c r="J14" s="58"/>
      <c r="K14" s="58"/>
      <c r="L14" s="58"/>
      <c r="M14" s="220" t="str">
        <f>IF(RelatedPartyNo+RelatedPartyYes&lt;&gt;1,"Please select Yes or No","")</f>
        <v>Please select Yes or No</v>
      </c>
      <c r="N14" s="58"/>
    </row>
    <row r="15" spans="1:25" ht="21" customHeight="1" x14ac:dyDescent="0.2">
      <c r="B15" s="8" t="s">
        <v>10</v>
      </c>
      <c r="C15" s="268" t="s">
        <v>124</v>
      </c>
      <c r="D15" s="595" t="str">
        <f ca="1" xml:space="preserve"> IF((Purchase+Lease+CapitalLease= 1)," ","Select ONE" &amp; Break &amp; "finance type:")</f>
        <v>Select ONE
finance type:</v>
      </c>
      <c r="E15" s="584"/>
      <c r="F15" s="585"/>
      <c r="G15" s="585"/>
      <c r="H15" s="586"/>
      <c r="I15" s="625" t="s">
        <v>89</v>
      </c>
      <c r="J15" s="626"/>
      <c r="K15" s="626"/>
      <c r="L15" s="114" t="s">
        <v>90</v>
      </c>
      <c r="M15" s="160"/>
      <c r="P15" s="134" t="str">
        <f>IF(AND(OR(A165=TRUE,A166=TRUE),AND(A174 + A176 &lt;&gt; 1)),"SELECT ONE","")</f>
        <v/>
      </c>
      <c r="R15" s="86"/>
      <c r="S15" s="424"/>
      <c r="T15" s="86"/>
    </row>
    <row r="16" spans="1:25" ht="11.25" customHeight="1" x14ac:dyDescent="0.2">
      <c r="B16" s="123"/>
      <c r="C16" s="269"/>
      <c r="D16" s="596"/>
      <c r="E16" s="122" t="s">
        <v>566</v>
      </c>
      <c r="G16" s="122"/>
      <c r="H16" s="127"/>
      <c r="I16" s="58"/>
      <c r="J16" s="58"/>
      <c r="K16" s="58"/>
      <c r="L16" s="58"/>
      <c r="M16" s="58"/>
      <c r="N16" s="57"/>
      <c r="R16" s="86"/>
      <c r="S16" s="424"/>
      <c r="T16" s="86"/>
    </row>
    <row r="17" spans="1:34" ht="21" customHeight="1" x14ac:dyDescent="0.2">
      <c r="A17" s="249"/>
      <c r="B17" s="8"/>
      <c r="C17" s="93"/>
      <c r="D17" s="466" t="str">
        <f>IF(AND(Purchase=TRUE,ExistingHouse+NewConstruction&lt;&gt;1),"Required: Select ONE construction type",IF(ExistingHouse+NewConstruction&lt;&gt;1,"Select ONE construction type:",""))</f>
        <v>Select ONE construction type:</v>
      </c>
      <c r="E17" s="587"/>
      <c r="F17" s="588"/>
      <c r="G17" s="588"/>
      <c r="H17" s="589"/>
      <c r="I17" s="70"/>
      <c r="J17" s="271" t="s">
        <v>104</v>
      </c>
      <c r="K17" s="664"/>
      <c r="L17" s="665"/>
      <c r="M17" s="666"/>
      <c r="N17" s="134"/>
      <c r="R17" s="86"/>
      <c r="S17" s="424"/>
      <c r="T17" s="221"/>
    </row>
    <row r="18" spans="1:34" s="61" customFormat="1" ht="18" customHeight="1" x14ac:dyDescent="0.25">
      <c r="A18" s="250"/>
      <c r="B18" s="92" t="s">
        <v>11</v>
      </c>
      <c r="C18" s="110" t="s">
        <v>786</v>
      </c>
      <c r="D18" s="111"/>
      <c r="E18" s="115"/>
      <c r="F18" s="55"/>
      <c r="G18" s="643" t="str">
        <f xml:space="preserve"> IF((Lease+CapitalLease)&gt;0,"New Construction Information" &amp; Break &amp; "Leave blank for leases or capital leases", "New construction Information")</f>
        <v>New construction Information</v>
      </c>
      <c r="H18" s="644"/>
      <c r="I18" s="112"/>
      <c r="J18" s="113"/>
      <c r="K18" s="579" t="str">
        <f>IF((MoveInPending+MoveInCompleted=1),"","^    ^   ^   ^   SELECT   ONE   ABOVE    ^    ^    ^    ^           ")</f>
        <v xml:space="preserve">^    ^   ^   ^   SELECT   ONE   ABOVE    ^    ^    ^    ^           </v>
      </c>
      <c r="L18" s="579"/>
      <c r="M18" s="579"/>
      <c r="N18" s="115"/>
      <c r="R18" s="86"/>
      <c r="S18" s="424"/>
      <c r="T18" s="86"/>
    </row>
    <row r="19" spans="1:34" ht="12" customHeight="1" thickBot="1" x14ac:dyDescent="0.25">
      <c r="B19" s="4"/>
      <c r="C19" s="243" t="str">
        <f xml:space="preserve"> IF((Lease+CapitalLease)&gt;0,"Existing House Information - Leave blank for leases or capital leases", "Existing House Information")</f>
        <v>Existing House Information</v>
      </c>
      <c r="D19" s="19"/>
      <c r="G19" s="645"/>
      <c r="H19" s="645"/>
      <c r="I19" s="110"/>
      <c r="J19" s="110"/>
      <c r="L19" s="7" t="s">
        <v>111</v>
      </c>
      <c r="N19" s="57"/>
      <c r="R19" s="86"/>
      <c r="S19" s="424"/>
    </row>
    <row r="20" spans="1:34" ht="21" customHeight="1" x14ac:dyDescent="0.2">
      <c r="A20" s="251"/>
      <c r="B20" s="95"/>
      <c r="C20" s="124" t="s">
        <v>26</v>
      </c>
      <c r="D20" s="310"/>
      <c r="E20" s="313" t="str">
        <f t="shared" ref="E20:E25" si="0">IF( AND(ISNUMBER(D20),  LeaseORCapitalLease), "Purchased Units Only",  IF(LeaseORCapitalLease,"",   IF(ExistingHouse,IF(ISBLANK(D20),"&lt;---------"," "),IF(NewConstruction,IF(ISBLANK(D20),"","&lt;-Not for New Construction"),""))))</f>
        <v/>
      </c>
      <c r="G20" s="124" t="s">
        <v>73</v>
      </c>
      <c r="H20" s="151"/>
      <c r="I20" s="312" t="str">
        <f t="shared" ref="I20:I26" si="1">IF(AND(ISNUMBER(H20),LeaseORCapitalLease), "Purchased Unit Only", IF(LeaseORCapitalLease, "", IF(NewConstruction,IF(ISBLANK(H20),"&lt;---------"," "),IF(ExistingHouse,IF(ISBLANK(H20),"","&lt;-- Not for" &amp; Break &amp; "Existing Unit"),""))))</f>
        <v/>
      </c>
      <c r="J20" s="267" t="str">
        <f>IF(AND(Purchase = FALSE,Lease+CapitalLease=1,ISBLANK(LeaseAmount)),"---------&gt;","")</f>
        <v/>
      </c>
      <c r="K20" s="590" t="str">
        <f>IF(Purchase+Lease+CapitalLease=1,IF(CapitalLease,"Monthly Capital Lease Amount:",IF(Lease,"Monthly Lease Amount:",      IF(ISNUMBER(LeaseAmount),             "Purchase: Do not enter $ for lease","(not leased)"))),    IF(Purchase+Lease+CapitalLease=3,"Please Correct Acquisition Type",IF(Purchase,"Please Correct Acquisition Type","Check lease or capital lease, not both")))</f>
        <v>Check lease or capital lease, not both</v>
      </c>
      <c r="L20" s="591"/>
      <c r="M20" s="266"/>
      <c r="N20" s="57"/>
      <c r="R20" s="86"/>
      <c r="S20" s="424"/>
      <c r="T20" s="86"/>
      <c r="U20" s="57" t="s">
        <v>625</v>
      </c>
      <c r="AH20" s="318"/>
    </row>
    <row r="21" spans="1:34" ht="20.100000000000001" customHeight="1" thickBot="1" x14ac:dyDescent="0.25">
      <c r="B21" s="95"/>
      <c r="C21" s="97" t="s">
        <v>27</v>
      </c>
      <c r="D21" s="156"/>
      <c r="E21" s="313" t="str">
        <f t="shared" si="0"/>
        <v/>
      </c>
      <c r="G21" s="97" t="s">
        <v>77</v>
      </c>
      <c r="H21" s="152"/>
      <c r="I21" s="312" t="str">
        <f t="shared" si="1"/>
        <v/>
      </c>
      <c r="K21" s="592" t="s">
        <v>112</v>
      </c>
      <c r="L21" s="593"/>
      <c r="M21" s="265">
        <f>IF(ISBLANK(LeaseAmount), 0,LeaseAmount*12)</f>
        <v>0</v>
      </c>
      <c r="N21" s="57"/>
      <c r="R21" s="86"/>
      <c r="S21" s="424"/>
      <c r="T21" s="86"/>
    </row>
    <row r="22" spans="1:34" ht="20.100000000000001" customHeight="1" x14ac:dyDescent="0.2">
      <c r="B22" s="95"/>
      <c r="C22" s="98" t="s">
        <v>28</v>
      </c>
      <c r="D22" s="157"/>
      <c r="E22" s="313" t="str">
        <f t="shared" si="0"/>
        <v/>
      </c>
      <c r="G22" s="97" t="s">
        <v>78</v>
      </c>
      <c r="H22" s="153"/>
      <c r="I22" s="312" t="str">
        <f t="shared" si="1"/>
        <v/>
      </c>
      <c r="N22" s="135" t="str">
        <f>IF(AND(A165=TRUE,LEN(M20)&lt;1),"&lt;-------","")</f>
        <v/>
      </c>
    </row>
    <row r="23" spans="1:34" s="86" customFormat="1" ht="20.100000000000001" customHeight="1" x14ac:dyDescent="0.35">
      <c r="A23" s="249"/>
      <c r="B23" s="95"/>
      <c r="C23" s="465" t="s">
        <v>778</v>
      </c>
      <c r="D23" s="158"/>
      <c r="E23" s="313" t="str">
        <f t="shared" si="0"/>
        <v/>
      </c>
      <c r="G23" s="97" t="s">
        <v>96</v>
      </c>
      <c r="H23" s="153"/>
      <c r="I23" s="312" t="str">
        <f t="shared" si="1"/>
        <v/>
      </c>
      <c r="J23" s="219"/>
      <c r="L23" s="273"/>
      <c r="M23" s="652" t="str">
        <f ca="1">IF(ISNUMBER(SiteApprovalDate), "", "If unknown, leave" &amp; Break &amp; "&lt;-- date blank, but rate" &amp; Break &amp; "will be provisional")</f>
        <v>If unknown, leave
&lt;-- date blank, but rate
will be provisional</v>
      </c>
      <c r="N23" s="138"/>
      <c r="P23" s="318"/>
      <c r="S23" s="424"/>
    </row>
    <row r="24" spans="1:34" s="86" customFormat="1" ht="20.100000000000001" customHeight="1" thickBot="1" x14ac:dyDescent="0.3">
      <c r="A24" s="249"/>
      <c r="B24" s="95"/>
      <c r="C24" s="98" t="s">
        <v>777</v>
      </c>
      <c r="D24" s="159"/>
      <c r="E24" s="313" t="str">
        <f t="shared" si="0"/>
        <v/>
      </c>
      <c r="G24" s="97" t="s">
        <v>79</v>
      </c>
      <c r="H24" s="311"/>
      <c r="I24" s="312" t="str">
        <f t="shared" si="1"/>
        <v/>
      </c>
      <c r="J24" s="648" t="str">
        <f>"Date EOHHS site approval was granted:"</f>
        <v>Date EOHHS site approval was granted:</v>
      </c>
      <c r="K24" s="649"/>
      <c r="M24" s="653"/>
      <c r="S24" s="424"/>
    </row>
    <row r="25" spans="1:34" s="86" customFormat="1" ht="20.100000000000001" customHeight="1" x14ac:dyDescent="0.2">
      <c r="A25" s="249"/>
      <c r="B25" s="8"/>
      <c r="C25" s="106" t="s">
        <v>75</v>
      </c>
      <c r="D25" s="156"/>
      <c r="E25" s="313" t="str">
        <f t="shared" si="0"/>
        <v/>
      </c>
      <c r="G25" s="465" t="s">
        <v>779</v>
      </c>
      <c r="H25" s="154"/>
      <c r="I25" s="312" t="str">
        <f t="shared" si="1"/>
        <v/>
      </c>
      <c r="J25" s="649"/>
      <c r="K25" s="649"/>
      <c r="L25" s="366"/>
      <c r="M25" s="654"/>
      <c r="S25" s="424"/>
      <c r="U25" s="273" t="s">
        <v>546</v>
      </c>
      <c r="Y25" s="273" t="s">
        <v>128</v>
      </c>
      <c r="AG25" s="318"/>
    </row>
    <row r="26" spans="1:34" s="91" customFormat="1" ht="20.100000000000001" customHeight="1" thickBot="1" x14ac:dyDescent="0.3">
      <c r="A26" s="250"/>
      <c r="B26" s="92"/>
      <c r="C26" s="100" t="s">
        <v>780</v>
      </c>
      <c r="D26" s="128">
        <f>HouseFinanced*HouseIntRate</f>
        <v>0</v>
      </c>
      <c r="E26" s="126"/>
      <c r="G26" s="97" t="s">
        <v>777</v>
      </c>
      <c r="H26" s="155"/>
      <c r="I26" s="312" t="str">
        <f t="shared" si="1"/>
        <v/>
      </c>
      <c r="J26" s="650" t="s">
        <v>125</v>
      </c>
      <c r="K26" s="651"/>
      <c r="L26" s="655"/>
      <c r="M26" s="656"/>
      <c r="N26" s="133"/>
      <c r="S26" s="424"/>
    </row>
    <row r="27" spans="1:34" s="91" customFormat="1" ht="20.100000000000001" customHeight="1" thickBot="1" x14ac:dyDescent="0.25">
      <c r="A27" s="250"/>
      <c r="B27" s="92"/>
      <c r="C27" s="112"/>
      <c r="D27" s="126"/>
      <c r="E27" s="126"/>
      <c r="G27" s="125" t="s">
        <v>781</v>
      </c>
      <c r="H27" s="99">
        <f>COnstructionInterestRate*(LandFinanced+ConstructionFinanced)</f>
        <v>0</v>
      </c>
      <c r="I27" s="57"/>
      <c r="J27" s="126" t="str">
        <f>IF(CEDACAPPLIED,  "Date of CEDAC application", "")</f>
        <v/>
      </c>
      <c r="L27" s="365" t="s">
        <v>800</v>
      </c>
      <c r="M27" s="272" t="str">
        <f>IF(AND(CEDACAPPLIED,ISBLANK(L27))," &lt;-----", "")</f>
        <v/>
      </c>
      <c r="N27" s="133"/>
      <c r="S27" s="424"/>
      <c r="U27" s="308" t="b">
        <f>AND(SiteApprovalDate &lt;= DATE(1999,6,30), ExistingHouse = FALSE)</f>
        <v>1</v>
      </c>
      <c r="V27" s="296"/>
      <c r="W27" s="296"/>
    </row>
    <row r="28" spans="1:34" s="110" customFormat="1" ht="12.75" customHeight="1" x14ac:dyDescent="0.25">
      <c r="A28" s="252"/>
      <c r="B28" s="92"/>
      <c r="C28" s="578"/>
      <c r="D28" s="578"/>
      <c r="E28" s="578"/>
      <c r="F28" s="578"/>
      <c r="G28" s="578"/>
      <c r="H28" s="578"/>
      <c r="I28" s="578"/>
      <c r="J28" s="578"/>
      <c r="K28" s="578"/>
      <c r="L28" s="578"/>
      <c r="M28" s="578"/>
      <c r="N28" s="174"/>
      <c r="S28" s="425"/>
    </row>
    <row r="29" spans="1:34" ht="9.75" customHeight="1" x14ac:dyDescent="0.2">
      <c r="B29" s="4" t="s">
        <v>12</v>
      </c>
      <c r="C29" s="71" t="s">
        <v>95</v>
      </c>
      <c r="D29" s="71"/>
      <c r="E29" s="71"/>
      <c r="F29" s="71"/>
      <c r="G29" s="71"/>
      <c r="H29" s="71"/>
      <c r="I29" s="71"/>
      <c r="J29" s="71"/>
      <c r="K29" s="71"/>
      <c r="L29" s="71"/>
      <c r="M29" s="71"/>
      <c r="N29" s="71"/>
      <c r="U29" s="309"/>
    </row>
    <row r="30" spans="1:34" s="80" customFormat="1" ht="10.5" customHeight="1" x14ac:dyDescent="0.25">
      <c r="A30" s="253"/>
      <c r="B30" s="81"/>
      <c r="C30" s="577"/>
      <c r="D30" s="577"/>
      <c r="E30" s="577"/>
      <c r="F30" s="577"/>
      <c r="G30" s="577"/>
      <c r="H30" s="577"/>
      <c r="I30" s="577"/>
      <c r="J30" s="577"/>
      <c r="K30" s="577"/>
      <c r="L30" s="82"/>
      <c r="M30" s="82"/>
      <c r="N30" s="82"/>
      <c r="S30" s="421"/>
      <c r="AE30" s="504"/>
    </row>
    <row r="31" spans="1:34" s="65" customFormat="1" ht="15.75" customHeight="1" x14ac:dyDescent="0.3">
      <c r="A31" s="254"/>
      <c r="B31" s="90"/>
      <c r="D31" s="206"/>
      <c r="E31" s="206"/>
      <c r="F31" s="210"/>
      <c r="I31" s="208"/>
      <c r="J31" s="209" t="s">
        <v>91</v>
      </c>
      <c r="K31" s="146"/>
      <c r="L31" s="77" t="str">
        <f>IF(AND(A173=TRUE,LEN(K31)&lt;1),"&lt;------",IF(AND(A166=TRUE,LEN(K31)&lt;1),"&lt;------",""))</f>
        <v/>
      </c>
      <c r="N31" s="66"/>
      <c r="S31" s="426"/>
    </row>
    <row r="32" spans="1:34" s="83" customFormat="1" ht="15" customHeight="1" x14ac:dyDescent="0.25">
      <c r="A32" s="253"/>
      <c r="B32" s="80"/>
      <c r="C32" s="80"/>
      <c r="D32" s="84"/>
      <c r="E32" s="84"/>
      <c r="F32" s="84"/>
      <c r="G32" s="529" t="s">
        <v>92</v>
      </c>
      <c r="H32" s="529"/>
      <c r="I32" s="529"/>
      <c r="J32" s="530"/>
      <c r="K32" s="85">
        <f>(D21-K31)</f>
        <v>0</v>
      </c>
      <c r="L32" s="80"/>
      <c r="M32" s="80"/>
      <c r="S32" s="421"/>
    </row>
    <row r="33" spans="1:23" s="83" customFormat="1" ht="15" customHeight="1" x14ac:dyDescent="0.25">
      <c r="A33" s="253"/>
      <c r="B33" s="80"/>
      <c r="C33" s="80"/>
      <c r="D33" s="84"/>
      <c r="E33" s="84"/>
      <c r="F33" s="84"/>
      <c r="G33" s="529" t="s">
        <v>93</v>
      </c>
      <c r="H33" s="529"/>
      <c r="I33" s="529"/>
      <c r="J33" s="530"/>
      <c r="K33" s="85">
        <f>(H22)</f>
        <v>0</v>
      </c>
      <c r="L33" s="80"/>
      <c r="M33" s="80"/>
      <c r="S33" s="421"/>
    </row>
    <row r="34" spans="1:23" ht="6.75" customHeight="1" thickBot="1" x14ac:dyDescent="0.25">
      <c r="C34" s="3"/>
      <c r="J34" s="3"/>
      <c r="K34" s="3"/>
      <c r="N34" s="4"/>
    </row>
    <row r="35" spans="1:23" ht="32.25" customHeight="1" thickBot="1" x14ac:dyDescent="0.35">
      <c r="B35" s="118"/>
      <c r="C35" s="9"/>
      <c r="D35" s="10" t="s">
        <v>0</v>
      </c>
      <c r="E35" s="10"/>
      <c r="F35" s="10"/>
      <c r="G35" s="10"/>
      <c r="H35" s="618" t="s">
        <v>74</v>
      </c>
      <c r="I35" s="619"/>
      <c r="J35" s="170" t="s">
        <v>62</v>
      </c>
      <c r="K35" s="11" t="s">
        <v>94</v>
      </c>
      <c r="L35" s="11" t="str">
        <f ca="1" xml:space="preserve"> "Useful Service Life" &amp; Break &amp; "(years)"</f>
        <v>Useful Service Life
(years)</v>
      </c>
      <c r="M35" s="11" t="s">
        <v>13</v>
      </c>
      <c r="N35" s="116"/>
      <c r="O35" s="137"/>
      <c r="U35" s="83"/>
      <c r="V35" s="83"/>
      <c r="W35" s="83"/>
    </row>
    <row r="36" spans="1:23" ht="15" customHeight="1" x14ac:dyDescent="0.25">
      <c r="B36" s="109" t="s">
        <v>3</v>
      </c>
      <c r="C36" s="622" t="str">
        <f>"Depreciation  on building: " &amp;C12</f>
        <v xml:space="preserve">Depreciation  on building: </v>
      </c>
      <c r="D36" s="623"/>
      <c r="E36" s="623"/>
      <c r="F36" s="623"/>
      <c r="G36" s="624"/>
      <c r="H36" s="620" t="str">
        <f>IF(AND(ExistingHouse,Purchasedate &gt; DATE(1901,,)), Purchasedate, IF(AND(NewConstruction, ConstructionCompletionDate &gt; DATE(1901,,)), ConstructionCompletionDate, ""))</f>
        <v/>
      </c>
      <c r="I36" s="621"/>
      <c r="J36" s="46">
        <f xml:space="preserve"> IF(AND(PurchasePrice&gt;0, ConstructionCost&gt;0), "See Errors in #5", IF(PurchasePrice&gt;0,PurchasePrice,IF(ConstructionCost&gt;0,ConstructionCost,0)))</f>
        <v>0</v>
      </c>
      <c r="K36" s="46">
        <f>IF(K32&gt;0,K32,IF(K33&gt;0,K33,0))</f>
        <v>0</v>
      </c>
      <c r="L36" s="54">
        <v>27.5</v>
      </c>
      <c r="M36" s="44">
        <f>IF(L36&gt;0,ROUND(K36/L36,0),0)</f>
        <v>0</v>
      </c>
      <c r="N36" s="96"/>
      <c r="O36" s="25"/>
      <c r="U36" s="83"/>
      <c r="V36" s="83"/>
      <c r="W36" s="83"/>
    </row>
    <row r="37" spans="1:23" ht="15.95" customHeight="1" x14ac:dyDescent="0.3">
      <c r="B37" s="109" t="s">
        <v>4</v>
      </c>
      <c r="C37" s="526"/>
      <c r="D37" s="527"/>
      <c r="E37" s="527"/>
      <c r="F37" s="527"/>
      <c r="G37" s="528"/>
      <c r="H37" s="538"/>
      <c r="I37" s="539"/>
      <c r="J37" s="147"/>
      <c r="K37" s="147"/>
      <c r="L37" s="148"/>
      <c r="M37" s="44">
        <f t="shared" ref="M37:M43" si="2">IF(L37&gt;0,ROUND(K37/L37,0),0)</f>
        <v>0</v>
      </c>
      <c r="N37" s="96"/>
      <c r="O37" s="72"/>
      <c r="P37" s="502"/>
      <c r="U37" s="83"/>
      <c r="V37" s="83"/>
      <c r="W37" s="83"/>
    </row>
    <row r="38" spans="1:23" ht="15.95" customHeight="1" x14ac:dyDescent="0.25">
      <c r="B38" s="109" t="s">
        <v>5</v>
      </c>
      <c r="C38" s="526"/>
      <c r="D38" s="527"/>
      <c r="E38" s="527"/>
      <c r="F38" s="527"/>
      <c r="G38" s="528"/>
      <c r="H38" s="538"/>
      <c r="I38" s="539"/>
      <c r="J38" s="147"/>
      <c r="K38" s="147"/>
      <c r="L38" s="149"/>
      <c r="M38" s="44">
        <f t="shared" si="2"/>
        <v>0</v>
      </c>
      <c r="N38" s="96"/>
      <c r="O38" s="25"/>
      <c r="P38" s="501">
        <f>PILT</f>
        <v>0</v>
      </c>
    </row>
    <row r="39" spans="1:23" ht="15.95" customHeight="1" x14ac:dyDescent="0.25">
      <c r="B39" s="109" t="s">
        <v>6</v>
      </c>
      <c r="C39" s="526"/>
      <c r="D39" s="527"/>
      <c r="E39" s="527"/>
      <c r="F39" s="527"/>
      <c r="G39" s="528"/>
      <c r="H39" s="538"/>
      <c r="I39" s="539"/>
      <c r="J39" s="147"/>
      <c r="K39" s="147"/>
      <c r="L39" s="148"/>
      <c r="M39" s="44">
        <f t="shared" si="2"/>
        <v>0</v>
      </c>
      <c r="N39" s="96"/>
      <c r="O39" s="24" t="str">
        <f>IF(AND(J36&gt;1,M36&lt;1),"?","")</f>
        <v/>
      </c>
      <c r="P39" s="501">
        <f>AnnInterestExisting</f>
        <v>0</v>
      </c>
    </row>
    <row r="40" spans="1:23" ht="15.95" customHeight="1" x14ac:dyDescent="0.25">
      <c r="B40" s="109" t="s">
        <v>7</v>
      </c>
      <c r="C40" s="526"/>
      <c r="D40" s="527"/>
      <c r="E40" s="527"/>
      <c r="F40" s="527"/>
      <c r="G40" s="528"/>
      <c r="H40" s="538"/>
      <c r="I40" s="539"/>
      <c r="J40" s="147"/>
      <c r="K40" s="147"/>
      <c r="L40" s="149"/>
      <c r="M40" s="44">
        <f t="shared" si="2"/>
        <v>0</v>
      </c>
      <c r="N40" s="96"/>
      <c r="O40" s="25"/>
      <c r="P40" s="57">
        <f>AnnInterestConstr</f>
        <v>0</v>
      </c>
    </row>
    <row r="41" spans="1:23" ht="15.95" customHeight="1" x14ac:dyDescent="0.25">
      <c r="B41" s="109" t="s">
        <v>15</v>
      </c>
      <c r="C41" s="526"/>
      <c r="D41" s="527"/>
      <c r="E41" s="527"/>
      <c r="F41" s="527"/>
      <c r="G41" s="528"/>
      <c r="H41" s="538"/>
      <c r="I41" s="539"/>
      <c r="J41" s="147"/>
      <c r="K41" s="147"/>
      <c r="L41" s="148"/>
      <c r="M41" s="44">
        <f t="shared" si="2"/>
        <v>0</v>
      </c>
      <c r="N41" s="96"/>
      <c r="O41" s="25"/>
      <c r="P41" s="57">
        <f>AnnLeaseAmt</f>
        <v>0</v>
      </c>
    </row>
    <row r="42" spans="1:23" ht="15.95" customHeight="1" x14ac:dyDescent="0.25">
      <c r="B42" s="109" t="s">
        <v>16</v>
      </c>
      <c r="C42" s="526"/>
      <c r="D42" s="527"/>
      <c r="E42" s="527"/>
      <c r="F42" s="527"/>
      <c r="G42" s="528"/>
      <c r="H42" s="538"/>
      <c r="I42" s="539"/>
      <c r="J42" s="147"/>
      <c r="K42" s="147"/>
      <c r="L42" s="150"/>
      <c r="M42" s="44">
        <f t="shared" si="2"/>
        <v>0</v>
      </c>
      <c r="N42" s="96"/>
      <c r="O42" s="25" t="s">
        <v>765</v>
      </c>
    </row>
    <row r="43" spans="1:23" ht="15.95" customHeight="1" thickBot="1" x14ac:dyDescent="0.3">
      <c r="B43" s="109" t="s">
        <v>17</v>
      </c>
      <c r="C43" s="607"/>
      <c r="D43" s="608"/>
      <c r="E43" s="608"/>
      <c r="F43" s="608"/>
      <c r="G43" s="609"/>
      <c r="H43" s="614"/>
      <c r="I43" s="615"/>
      <c r="J43" s="147"/>
      <c r="K43" s="147"/>
      <c r="L43" s="150"/>
      <c r="M43" s="44">
        <f t="shared" si="2"/>
        <v>0</v>
      </c>
      <c r="N43" s="96"/>
      <c r="O43" s="25"/>
    </row>
    <row r="44" spans="1:23" ht="13.5" thickBot="1" x14ac:dyDescent="0.25">
      <c r="C44" s="12" t="s">
        <v>8</v>
      </c>
      <c r="D44" s="13"/>
      <c r="E44" s="13"/>
      <c r="F44" s="13"/>
      <c r="G44" s="13"/>
      <c r="H44" s="13"/>
      <c r="I44" s="13"/>
      <c r="J44" s="14"/>
      <c r="K44" s="14"/>
      <c r="L44" s="359" t="s">
        <v>735</v>
      </c>
      <c r="M44" s="45">
        <f>SUM(M36:M43)</f>
        <v>0</v>
      </c>
      <c r="N44" s="96"/>
      <c r="O44" s="25" t="s">
        <v>760</v>
      </c>
    </row>
    <row r="45" spans="1:23" ht="30" customHeight="1" x14ac:dyDescent="0.2">
      <c r="B45" s="4" t="s">
        <v>14</v>
      </c>
      <c r="C45" s="71" t="s">
        <v>54</v>
      </c>
      <c r="D45" s="71"/>
      <c r="E45" s="71"/>
      <c r="F45" s="71"/>
      <c r="G45" s="71"/>
      <c r="H45" s="71"/>
      <c r="I45" s="71"/>
      <c r="J45" s="657"/>
      <c r="K45" s="657"/>
      <c r="L45" s="175"/>
      <c r="M45" s="49"/>
      <c r="N45" s="182"/>
      <c r="O45" s="433">
        <f>IF(AND(Purchase=TRUE,J51&lt;3000),J51,IF(AND(Purchase=TRUE,J51&gt;=3000),3000,IF(AND(Lease=TRUE,D13&lt;4,J51&gt;=750),750,IF(AND(Lease=TRUE,D13&lt;4,J51&lt;750),J51,IF(AND(Lease=TRUE,D13&gt;=4,J51&gt;=1000),1000,IF(AND(Lease=TRUE,D13&gt;=4,J51&lt;1000),J51,IF(AND(CapitalLease=TRUE,D13&lt;4,J51&gt;=750),750,IF(AND(CapitalLease=TRUE,D13&lt;4,J51&lt;750),J51,IF(AND(CapitalLease=TRUE,D13&gt;=4,J51&gt;=1000),1000,IF(AND(CapitalLease=TRUE,D13&gt;=4,J51&lt;1000),J51,0))))))))))</f>
        <v>0</v>
      </c>
      <c r="P45" s="25"/>
    </row>
    <row r="46" spans="1:23" ht="15.95" customHeight="1" thickBot="1" x14ac:dyDescent="0.25">
      <c r="B46" s="58"/>
      <c r="C46" s="172" t="s">
        <v>60</v>
      </c>
      <c r="D46" s="50"/>
      <c r="E46" s="50"/>
      <c r="F46" s="50"/>
      <c r="G46" s="50"/>
      <c r="H46" s="50"/>
      <c r="I46" s="50"/>
      <c r="J46" s="50"/>
      <c r="K46" s="50"/>
      <c r="L46" s="288"/>
      <c r="M46" s="23">
        <f>PILT+AnnInterestExisting+AnnInterestConstr+AnnLeaseAmt</f>
        <v>0</v>
      </c>
      <c r="N46" s="96"/>
      <c r="O46" s="96"/>
      <c r="P46" s="25"/>
    </row>
    <row r="47" spans="1:23" ht="15.95" customHeight="1" thickBot="1" x14ac:dyDescent="0.25">
      <c r="B47" s="58"/>
      <c r="C47" s="53" t="s">
        <v>58</v>
      </c>
      <c r="D47" s="48"/>
      <c r="E47" s="48"/>
      <c r="F47" s="48"/>
      <c r="G47" s="48"/>
      <c r="H47" s="48"/>
      <c r="I47" s="48"/>
      <c r="J47" s="48"/>
      <c r="K47" s="48"/>
      <c r="L47" s="51"/>
      <c r="M47" s="23">
        <f>M44</f>
        <v>0</v>
      </c>
      <c r="N47" s="96"/>
      <c r="O47" s="96"/>
      <c r="P47" s="191" t="s">
        <v>115</v>
      </c>
      <c r="Q47" s="193" t="s">
        <v>82</v>
      </c>
    </row>
    <row r="48" spans="1:23" s="318" customFormat="1" ht="18.75" customHeight="1" x14ac:dyDescent="0.25">
      <c r="A48" s="246"/>
      <c r="B48" s="58"/>
      <c r="C48" s="352"/>
      <c r="D48" s="48"/>
      <c r="E48" s="48"/>
      <c r="F48" s="48"/>
      <c r="G48" s="48"/>
      <c r="H48" s="48"/>
      <c r="I48" s="15"/>
      <c r="J48" s="353" t="s">
        <v>733</v>
      </c>
      <c r="K48" s="662" t="str">
        <f>IF(DDSRes + DDSABI + MCBRes + MRCRes&lt;&gt;1,"   Select ONE contract type at top of form. This affects caps!  ","                        Reductions per Applicable Caps ")</f>
        <v xml:space="preserve">   Select ONE contract type at top of form. This affects caps!  </v>
      </c>
      <c r="L48" s="663"/>
      <c r="M48" s="663"/>
      <c r="N48" s="430"/>
      <c r="O48" s="96"/>
      <c r="P48" s="191"/>
      <c r="Q48" s="6"/>
      <c r="S48" s="422"/>
    </row>
    <row r="49" spans="1:29" ht="15.95" customHeight="1" x14ac:dyDescent="0.3">
      <c r="B49" s="79"/>
      <c r="C49" s="178" t="s">
        <v>55</v>
      </c>
      <c r="D49" s="179"/>
      <c r="E49" s="179"/>
      <c r="F49" s="179"/>
      <c r="G49" s="179"/>
      <c r="H49" s="179"/>
      <c r="I49" s="104" t="str">
        <f>IF(J49&lt;1,"?","")</f>
        <v>?</v>
      </c>
      <c r="J49" s="146"/>
      <c r="K49" s="177"/>
      <c r="L49" s="74">
        <f t="shared" ref="L49:L52" si="3">M49 - J49</f>
        <v>0</v>
      </c>
      <c r="M49" s="23">
        <f xml:space="preserve"> IF(ISBLANK(J49),0,  IF(AND(D13&lt;=3,J49&gt;=6000),6000,IF(AND(D13&lt;=3,J49&lt;6000),J49,IF(AND(D13&gt;=4,J49&gt;=10000),10000,IF(AND(D13&gt;=4,J49&lt;10000),J49)))))</f>
        <v>0</v>
      </c>
      <c r="N49" s="431"/>
      <c r="O49" s="186" t="s">
        <v>55</v>
      </c>
      <c r="P49" s="181"/>
      <c r="Q49" s="192">
        <f>M49+P49</f>
        <v>0</v>
      </c>
    </row>
    <row r="50" spans="1:29" ht="15.95" customHeight="1" x14ac:dyDescent="0.3">
      <c r="B50" s="79"/>
      <c r="C50" s="178" t="s">
        <v>56</v>
      </c>
      <c r="D50" s="179"/>
      <c r="E50" s="179"/>
      <c r="F50" s="179"/>
      <c r="G50" s="179"/>
      <c r="H50" s="179"/>
      <c r="I50" s="104" t="str">
        <f>IF(J50&lt;1,"?","")</f>
        <v>?</v>
      </c>
      <c r="J50" s="146"/>
      <c r="K50" s="73"/>
      <c r="L50" s="74">
        <f t="shared" si="3"/>
        <v>0</v>
      </c>
      <c r="M50" s="23">
        <f>IF(ISBLANK(J50),0,IF(SiteTypeEntry=0,0,IF(SiteTypeEntry="5 or more unit building",IF(J50&lt;5000,J50,5000),IF(J50&lt;12000,J50,12000))))</f>
        <v>0</v>
      </c>
      <c r="N50" s="431"/>
      <c r="O50" s="186" t="s">
        <v>56</v>
      </c>
      <c r="P50" s="181"/>
      <c r="Q50" s="185">
        <f>M50+P50</f>
        <v>0</v>
      </c>
      <c r="X50" s="57" t="s">
        <v>804</v>
      </c>
    </row>
    <row r="51" spans="1:29" ht="15.95" customHeight="1" x14ac:dyDescent="0.3">
      <c r="B51" s="79"/>
      <c r="C51" s="178" t="s">
        <v>567</v>
      </c>
      <c r="D51" s="179"/>
      <c r="E51" s="179"/>
      <c r="F51" s="179"/>
      <c r="G51" s="464"/>
      <c r="H51" s="179"/>
      <c r="I51" s="104" t="str">
        <f>IF(J51&lt;1,"?","")</f>
        <v>?</v>
      </c>
      <c r="J51" s="146"/>
      <c r="K51" s="73"/>
      <c r="L51" s="74">
        <f t="shared" si="3"/>
        <v>0</v>
      </c>
      <c r="M51" s="23">
        <f>IF(InsCap &lt;J51, InsCap, J51)</f>
        <v>0</v>
      </c>
      <c r="N51" s="431"/>
      <c r="O51" s="186" t="s">
        <v>84</v>
      </c>
      <c r="P51" s="181"/>
      <c r="Q51" s="185">
        <f>M51+P51</f>
        <v>0</v>
      </c>
      <c r="X51" s="57" t="s">
        <v>802</v>
      </c>
      <c r="Z51" s="57" t="b">
        <f>CapException</f>
        <v>1</v>
      </c>
    </row>
    <row r="52" spans="1:29" ht="15.95" customHeight="1" x14ac:dyDescent="0.3">
      <c r="B52" s="79"/>
      <c r="C52" s="178" t="s">
        <v>63</v>
      </c>
      <c r="D52" s="179"/>
      <c r="E52" s="179"/>
      <c r="F52" s="179"/>
      <c r="G52" s="179"/>
      <c r="H52" s="179"/>
      <c r="I52" s="104" t="str">
        <f>IF(J52&lt;1,"?","")</f>
        <v>?</v>
      </c>
      <c r="J52" s="146"/>
      <c r="K52" s="73"/>
      <c r="L52" s="74">
        <f t="shared" si="3"/>
        <v>0</v>
      </c>
      <c r="M52" s="23">
        <f xml:space="preserve"> IF(ISBLANK(J52), 0,   IF(AND(D13&lt;=3,J52&gt;=600),600,IF(AND(D13&lt;=3,J52&lt;600),J52,IF(AND(D13&gt;=4,J52&gt;=800),800,IF(AND(D13&gt;=4,J52&lt;800),J52)))))</f>
        <v>0</v>
      </c>
      <c r="N52" s="431"/>
      <c r="O52" s="186" t="s">
        <v>85</v>
      </c>
      <c r="P52" s="181"/>
      <c r="Q52" s="185">
        <f>M52+P52</f>
        <v>0</v>
      </c>
    </row>
    <row r="53" spans="1:29" ht="15.95" customHeight="1" thickBot="1" x14ac:dyDescent="0.35">
      <c r="B53" s="79"/>
      <c r="C53" s="178" t="s">
        <v>57</v>
      </c>
      <c r="D53" s="179"/>
      <c r="E53" s="179"/>
      <c r="F53" s="179"/>
      <c r="G53" s="179"/>
      <c r="H53" s="179"/>
      <c r="I53" s="104" t="str">
        <f>IF(J53&lt;1,"?","")</f>
        <v>?</v>
      </c>
      <c r="J53" s="146"/>
      <c r="K53" s="177"/>
      <c r="L53" s="74">
        <f>M53 - J53</f>
        <v>0</v>
      </c>
      <c r="M53" s="23">
        <f>IF(ISBLANK(J53),0,MIN(J53, TotalCapacity*8.16*365))</f>
        <v>0</v>
      </c>
      <c r="N53" s="431"/>
      <c r="O53" s="96"/>
      <c r="P53" s="200"/>
      <c r="Q53" s="185">
        <f>M53</f>
        <v>0</v>
      </c>
    </row>
    <row r="54" spans="1:29" s="176" customFormat="1" ht="14.25" customHeight="1" thickBot="1" x14ac:dyDescent="0.3">
      <c r="A54" s="255"/>
      <c r="C54" s="121"/>
      <c r="D54" s="180"/>
      <c r="E54" s="180"/>
      <c r="F54" s="180"/>
      <c r="G54" s="180"/>
      <c r="H54" s="610" t="s">
        <v>756</v>
      </c>
      <c r="I54" s="611"/>
      <c r="J54" s="641">
        <f>SUM(J49:J53)</f>
        <v>0</v>
      </c>
      <c r="K54" s="658" t="s">
        <v>81</v>
      </c>
      <c r="L54" s="641">
        <f>SUM(L49:L53)</f>
        <v>0</v>
      </c>
      <c r="M54" s="197"/>
      <c r="N54" s="183"/>
      <c r="O54" s="201" t="s">
        <v>86</v>
      </c>
      <c r="P54" s="190">
        <f>SUM(P49:P52)</f>
        <v>0</v>
      </c>
      <c r="Q54" s="194"/>
      <c r="S54" s="427"/>
    </row>
    <row r="55" spans="1:29" s="187" customFormat="1" ht="14.25" customHeight="1" thickBot="1" x14ac:dyDescent="0.3">
      <c r="A55" s="256"/>
      <c r="C55" s="18"/>
      <c r="H55" s="612"/>
      <c r="I55" s="613"/>
      <c r="J55" s="642"/>
      <c r="K55" s="659"/>
      <c r="L55" s="642"/>
      <c r="M55" s="198"/>
      <c r="N55" s="183"/>
      <c r="O55" s="183"/>
      <c r="P55" s="183"/>
      <c r="S55" s="427" t="s">
        <v>755</v>
      </c>
    </row>
    <row r="56" spans="1:29" ht="19.5" customHeight="1" thickBot="1" x14ac:dyDescent="0.25">
      <c r="C56" s="315" t="s">
        <v>631</v>
      </c>
      <c r="D56" s="140"/>
      <c r="E56" s="140"/>
      <c r="F56" s="140"/>
      <c r="G56" s="140"/>
      <c r="H56" s="140"/>
      <c r="I56" s="318"/>
      <c r="J56" s="7"/>
      <c r="K56" s="7"/>
      <c r="L56" s="297" t="s">
        <v>758</v>
      </c>
      <c r="M56" s="23">
        <f>Q56</f>
        <v>0</v>
      </c>
      <c r="N56" s="96"/>
      <c r="O56" s="627" t="s">
        <v>83</v>
      </c>
      <c r="P56" s="628"/>
      <c r="Q56" s="196">
        <f>SUM(M46:M47,Q49:Q53)</f>
        <v>0</v>
      </c>
      <c r="S56" s="422" t="s">
        <v>757</v>
      </c>
    </row>
    <row r="57" spans="1:29" ht="12.75" customHeight="1" thickBot="1" x14ac:dyDescent="0.3">
      <c r="B57" s="116"/>
      <c r="C57" s="546"/>
      <c r="D57" s="547"/>
      <c r="E57" s="547"/>
      <c r="F57" s="548"/>
      <c r="G57" s="140"/>
      <c r="H57" s="140"/>
      <c r="I57" s="318"/>
      <c r="J57" s="318"/>
      <c r="K57" s="318"/>
      <c r="L57" s="16"/>
      <c r="M57" s="295"/>
      <c r="N57" s="184"/>
      <c r="O57" s="195"/>
      <c r="P57" s="58"/>
      <c r="U57" s="57">
        <f>RegionalCap</f>
        <v>0</v>
      </c>
    </row>
    <row r="58" spans="1:29" ht="17.25" customHeight="1" thickBot="1" x14ac:dyDescent="0.3">
      <c r="C58" s="549"/>
      <c r="D58" s="550"/>
      <c r="E58" s="550"/>
      <c r="F58" s="551"/>
      <c r="G58" s="140"/>
      <c r="H58" s="316"/>
      <c r="I58" s="646" t="str">
        <f ca="1">IF(NOT(ISNUMBER(SiteApprovalDate)),"Rate pending EOHHS" &amp; Break &amp; "site approval date", "")</f>
        <v>Rate pending EOHHS
site approval date</v>
      </c>
      <c r="J58" s="544" t="str">
        <f ca="1" xml:space="preserve"> "Monthly" &amp; Break &amp; "Rate /Person"</f>
        <v>Monthly
Rate /Person</v>
      </c>
      <c r="K58" s="542" t="str">
        <f xml:space="preserve">   IF(CapIsApplied,    "Calc. rate / person &gt; Regional Max Rate:", "Calculated monthly rate/person:" )</f>
        <v>Calculated monthly rate/person:</v>
      </c>
      <c r="L58" s="543"/>
      <c r="M58" s="283">
        <f xml:space="preserve"> IF(ISBLANK(TotalCapacity), 0, ROUND(AnnTotal/12/TotalCapacity,0))</f>
        <v>0</v>
      </c>
      <c r="N58" s="188"/>
      <c r="O58" s="58">
        <f>InsCap</f>
        <v>0</v>
      </c>
      <c r="T58" s="57">
        <f>LEN(TRIM(ActiveCap))</f>
        <v>13</v>
      </c>
      <c r="V58" s="57" t="s">
        <v>623</v>
      </c>
    </row>
    <row r="59" spans="1:29" ht="15.75" customHeight="1" thickBot="1" x14ac:dyDescent="0.3">
      <c r="C59" s="549"/>
      <c r="D59" s="550"/>
      <c r="E59" s="550"/>
      <c r="F59" s="551"/>
      <c r="G59" s="140"/>
      <c r="H59" s="140"/>
      <c r="I59" s="647"/>
      <c r="J59" s="545"/>
      <c r="K59" s="542" t="str">
        <f>IF(ISNUMBER(ActiveCap),RateTextValue,"")</f>
        <v/>
      </c>
      <c r="L59" s="543"/>
      <c r="M59" s="283" t="str">
        <f xml:space="preserve">  IF((DDSRes + DDSABI + MCBRes + MRCRes = 1),     IF(RateCapValue &lt;PerPersonBeforeOfffsets,  RateCapValue, ""), "check agency!")</f>
        <v>check agency!</v>
      </c>
      <c r="N59" s="188"/>
      <c r="O59" s="58"/>
      <c r="T59" s="57" t="b">
        <f>CAPExemption</f>
        <v>0</v>
      </c>
      <c r="U59" s="57" t="b">
        <f>ISNA(ActiveCap)</f>
        <v>0</v>
      </c>
      <c r="V59" s="57" t="s">
        <v>624</v>
      </c>
      <c r="AB59" s="318"/>
      <c r="AC59" s="318"/>
    </row>
    <row r="60" spans="1:29" s="25" customFormat="1" ht="27" customHeight="1" thickBot="1" x14ac:dyDescent="0.25">
      <c r="A60" s="246"/>
      <c r="B60" s="139"/>
      <c r="C60" s="549"/>
      <c r="D60" s="550"/>
      <c r="E60" s="550"/>
      <c r="F60" s="551"/>
      <c r="G60" s="140"/>
      <c r="H60" s="140"/>
      <c r="I60" s="647"/>
      <c r="J60" s="544" t="str">
        <f ca="1" xml:space="preserve"> "Monthly Rate" &amp; Break &amp; "for Total ALTR-Funded Capacity"</f>
        <v>Monthly Rate
for Total ALTR-Funded Capacity</v>
      </c>
      <c r="K60" s="570" t="str">
        <f ca="1">IF(AND(RegionalCap &gt; 0,  RegionalCap &lt; PerPersonBeforeOfffsets, ISNUMBER(RateCapValue)), "Total Monthly Billing for ALTR-funded capacity with "&amp; K59, "Total Monthly billing for ALTR-" &amp; Break &amp; "funded capacity before offsets:")</f>
        <v>Total Monthly billing for ALTR-
funded capacity before offsets:</v>
      </c>
      <c r="L60" s="571"/>
      <c r="M60" s="555">
        <f>IF(ISNUMBER(ActiveCap),  IFERROR(ActiveCap * ALTRCapacity,0),IFERROR(PerPersonBeforeOfffsets*ALTRCapacity,0))</f>
        <v>0</v>
      </c>
      <c r="N60" s="169"/>
      <c r="O60" s="164"/>
      <c r="S60" s="422"/>
      <c r="T60" s="316" t="s">
        <v>630</v>
      </c>
      <c r="V60" s="25" t="s">
        <v>626</v>
      </c>
      <c r="AC60" s="316"/>
    </row>
    <row r="61" spans="1:29" s="25" customFormat="1" ht="17.25" customHeight="1" thickBot="1" x14ac:dyDescent="0.3">
      <c r="A61" s="246"/>
      <c r="B61" s="139"/>
      <c r="C61" s="552"/>
      <c r="D61" s="553"/>
      <c r="E61" s="553"/>
      <c r="F61" s="554"/>
      <c r="G61" s="140"/>
      <c r="H61" s="140"/>
      <c r="I61" s="647"/>
      <c r="J61" s="569"/>
      <c r="K61" s="572"/>
      <c r="L61" s="573"/>
      <c r="M61" s="556"/>
      <c r="O61" s="168">
        <f>IF(ISNUMBER(ActiveCap),  IFERROR(ActiveCap * ALTRCapacity,0),IFERROR(PerPersonBeforeOfffsets*ALTRCapacity,0))</f>
        <v>0</v>
      </c>
      <c r="S61" s="422"/>
    </row>
    <row r="62" spans="1:29" s="25" customFormat="1" ht="42" hidden="1" customHeight="1" thickBot="1" x14ac:dyDescent="0.3">
      <c r="A62" s="246"/>
      <c r="B62" s="139"/>
      <c r="G62" s="140"/>
      <c r="H62" s="140"/>
      <c r="I62" s="144"/>
      <c r="J62" s="566" t="str">
        <f>IF(ISBLANK(ExceptionRate), "Agency Use Only- leave blank for no override", " Exception Overide: Total Monthly Rate PER PERSON" &amp; Break &amp; " Granted as an Exception under 101 CMR 420.03(7)(d)2.b. and c:")</f>
        <v>Agency Use Only- leave blank for no override</v>
      </c>
      <c r="K62" s="567"/>
      <c r="L62" s="568"/>
      <c r="M62" s="285"/>
      <c r="O62" s="284"/>
      <c r="S62" s="422"/>
    </row>
    <row r="63" spans="1:29" s="25" customFormat="1" ht="17.25" customHeight="1" thickBot="1" x14ac:dyDescent="0.3">
      <c r="A63" s="246"/>
      <c r="B63" s="211"/>
      <c r="C63" s="212"/>
      <c r="D63" s="213"/>
      <c r="E63" s="212"/>
      <c r="F63" s="214"/>
      <c r="G63" s="212"/>
      <c r="H63" s="215"/>
      <c r="I63" s="215"/>
      <c r="J63" s="207"/>
      <c r="K63" s="270"/>
      <c r="L63" s="207"/>
      <c r="M63" s="169"/>
      <c r="N63" s="169"/>
      <c r="O63" s="164"/>
      <c r="S63" s="422"/>
    </row>
    <row r="64" spans="1:29" ht="17.25" customHeight="1" x14ac:dyDescent="0.2">
      <c r="B64" s="116" t="s">
        <v>70</v>
      </c>
      <c r="C64" s="560" t="s">
        <v>97</v>
      </c>
      <c r="D64" s="561"/>
      <c r="E64" s="561"/>
      <c r="F64" s="561"/>
      <c r="G64" s="561"/>
      <c r="H64" s="561"/>
      <c r="I64" s="561"/>
      <c r="J64" s="561"/>
      <c r="K64" s="561"/>
      <c r="L64" s="561"/>
      <c r="M64" s="562"/>
      <c r="N64" s="116"/>
      <c r="O64" s="24"/>
    </row>
    <row r="65" spans="1:19" ht="25.5" customHeight="1" thickBot="1" x14ac:dyDescent="0.25">
      <c r="B65" s="52"/>
      <c r="C65" s="563"/>
      <c r="D65" s="564"/>
      <c r="E65" s="564"/>
      <c r="F65" s="564"/>
      <c r="G65" s="564"/>
      <c r="H65" s="564"/>
      <c r="I65" s="564"/>
      <c r="J65" s="564"/>
      <c r="K65" s="564"/>
      <c r="L65" s="564"/>
      <c r="M65" s="565"/>
      <c r="N65" s="116"/>
      <c r="O65" s="47"/>
    </row>
    <row r="66" spans="1:19" ht="9.75" customHeight="1" x14ac:dyDescent="0.2">
      <c r="A66" s="257"/>
      <c r="B66" s="17"/>
      <c r="C66" s="17"/>
      <c r="D66" s="17"/>
      <c r="E66" s="67"/>
      <c r="F66" s="67"/>
      <c r="G66" s="67"/>
      <c r="H66" s="67"/>
      <c r="I66" s="67"/>
      <c r="J66" s="67"/>
      <c r="K66" s="67"/>
      <c r="L66" s="67"/>
      <c r="M66" s="67"/>
      <c r="O66" s="69"/>
    </row>
    <row r="67" spans="1:19" s="86" customFormat="1" ht="27.75" customHeight="1" x14ac:dyDescent="0.3">
      <c r="A67" s="258"/>
      <c r="B67" s="18"/>
      <c r="C67" s="287" t="s">
        <v>67</v>
      </c>
      <c r="D67" s="557"/>
      <c r="E67" s="558"/>
      <c r="F67" s="559"/>
      <c r="G67" s="131" t="str">
        <f>IF(LEN($D$67)&lt;1,"&lt; ENTER NAME"," ")</f>
        <v>&lt; ENTER NAME</v>
      </c>
      <c r="I67" s="171" t="s">
        <v>30</v>
      </c>
      <c r="J67" s="557"/>
      <c r="K67" s="559"/>
      <c r="L67" s="171" t="s">
        <v>31</v>
      </c>
      <c r="M67" s="314"/>
      <c r="N67" s="202"/>
      <c r="O67" s="105"/>
      <c r="Q67" s="57"/>
      <c r="R67" s="57"/>
      <c r="S67" s="422"/>
    </row>
    <row r="68" spans="1:19" s="87" customFormat="1" ht="18" customHeight="1" x14ac:dyDescent="0.3">
      <c r="A68" s="259"/>
      <c r="B68" s="88"/>
      <c r="C68" s="89" t="s">
        <v>61</v>
      </c>
      <c r="D68" s="89"/>
      <c r="E68" s="89"/>
      <c r="F68" s="89"/>
      <c r="G68" s="89"/>
      <c r="H68" s="89"/>
      <c r="I68" s="89"/>
      <c r="J68" s="541" t="str">
        <f>IF(LEN($J$67)&lt;1,"TITLE?"," ")</f>
        <v>TITLE?</v>
      </c>
      <c r="K68" s="541"/>
      <c r="L68" s="88"/>
      <c r="M68" s="105" t="str">
        <f>IF(LEN($M$67)&lt;1,"?"," ")</f>
        <v>?</v>
      </c>
      <c r="N68" s="105"/>
      <c r="O68" s="199"/>
      <c r="Q68" s="57"/>
      <c r="R68" s="57"/>
      <c r="S68" s="422"/>
    </row>
    <row r="69" spans="1:19" s="86" customFormat="1" ht="27" customHeight="1" x14ac:dyDescent="0.3">
      <c r="A69" s="260"/>
      <c r="B69" s="94"/>
      <c r="C69" s="286" t="s">
        <v>568</v>
      </c>
      <c r="D69" s="557"/>
      <c r="E69" s="558"/>
      <c r="F69" s="559"/>
      <c r="G69" s="131" t="str">
        <f>IF(LEN($D$69)&lt;1,"&lt; ENTER NAME"," ")</f>
        <v>&lt; ENTER NAME</v>
      </c>
      <c r="I69" s="171"/>
      <c r="J69" s="557"/>
      <c r="K69" s="559"/>
      <c r="L69" s="171" t="s">
        <v>31</v>
      </c>
      <c r="M69" s="314"/>
      <c r="N69" s="203"/>
      <c r="O69" s="105"/>
      <c r="Q69" s="57"/>
      <c r="R69" s="57"/>
      <c r="S69" s="422"/>
    </row>
    <row r="70" spans="1:19" s="67" customFormat="1" ht="18" customHeight="1" x14ac:dyDescent="0.3">
      <c r="A70" s="257"/>
      <c r="B70" s="6"/>
      <c r="C70" s="89" t="s">
        <v>98</v>
      </c>
      <c r="D70" s="89"/>
      <c r="E70" s="89"/>
      <c r="F70" s="89"/>
      <c r="G70" s="89"/>
      <c r="H70" s="89"/>
      <c r="I70" s="89"/>
      <c r="J70" s="540" t="str">
        <f>IF(LEN($J$69)&lt;1,"TITLE?"," ")</f>
        <v>TITLE?</v>
      </c>
      <c r="K70" s="540"/>
      <c r="L70" s="6"/>
      <c r="M70" s="105" t="str">
        <f>IF(LEN($M$69)&lt;1,"?"," ")</f>
        <v>?</v>
      </c>
      <c r="N70" s="105"/>
      <c r="O70" s="164"/>
      <c r="Q70" s="57"/>
      <c r="R70" s="57"/>
      <c r="S70" s="422"/>
    </row>
    <row r="71" spans="1:19" s="67" customFormat="1" ht="5.25" customHeight="1" x14ac:dyDescent="0.2">
      <c r="A71" s="246"/>
      <c r="B71" s="6"/>
      <c r="C71" s="102"/>
      <c r="D71" s="101"/>
      <c r="E71" s="101"/>
      <c r="F71" s="101"/>
      <c r="G71" s="101"/>
      <c r="H71" s="101"/>
      <c r="I71" s="101"/>
      <c r="J71" s="101"/>
      <c r="K71" s="101"/>
      <c r="L71" s="136"/>
      <c r="M71" s="103"/>
      <c r="N71" s="143"/>
      <c r="O71" s="68"/>
      <c r="Q71" s="57"/>
      <c r="R71" s="57"/>
      <c r="S71" s="422"/>
    </row>
    <row r="72" spans="1:19" s="67" customFormat="1" ht="15.75" customHeight="1" x14ac:dyDescent="0.3">
      <c r="A72" s="246"/>
      <c r="B72" s="117" t="s">
        <v>102</v>
      </c>
      <c r="C72" s="360" t="s">
        <v>736</v>
      </c>
      <c r="D72" s="58"/>
      <c r="E72" s="58"/>
      <c r="F72" s="58"/>
      <c r="G72" s="58"/>
      <c r="H72" s="58"/>
      <c r="I72" s="58"/>
      <c r="J72" s="58"/>
      <c r="K72" s="20" t="s">
        <v>53</v>
      </c>
      <c r="L72" s="351"/>
      <c r="M72" s="76" t="str">
        <f>IF(L72&lt;1,"?","")</f>
        <v>?</v>
      </c>
      <c r="N72" s="189"/>
      <c r="O72" s="68"/>
      <c r="Q72" s="57"/>
      <c r="R72" s="57"/>
      <c r="S72" s="422"/>
    </row>
    <row r="73" spans="1:19" s="67" customFormat="1" ht="16.5" customHeight="1" x14ac:dyDescent="0.3">
      <c r="A73" s="245"/>
      <c r="B73" s="16"/>
      <c r="C73" s="70"/>
      <c r="D73" s="58"/>
      <c r="E73" s="20" t="s">
        <v>29</v>
      </c>
      <c r="F73" s="463"/>
      <c r="G73" s="75" t="str">
        <f>IF($F$73&lt;1,"?","")</f>
        <v>?</v>
      </c>
      <c r="H73" s="75"/>
      <c r="I73" s="75"/>
      <c r="J73" s="58"/>
      <c r="K73" s="20" t="s">
        <v>103</v>
      </c>
      <c r="L73" s="145"/>
      <c r="M73" s="76" t="str">
        <f>IF(L73&lt;1,"?","")</f>
        <v>?</v>
      </c>
      <c r="N73" s="189"/>
      <c r="O73" s="25"/>
      <c r="Q73" s="57"/>
      <c r="R73" s="57"/>
      <c r="S73" s="422"/>
    </row>
    <row r="74" spans="1:19" ht="5.25" customHeight="1" x14ac:dyDescent="0.2">
      <c r="C74" s="216"/>
      <c r="D74" s="217"/>
      <c r="E74" s="217"/>
      <c r="F74" s="217"/>
      <c r="G74" s="217"/>
      <c r="H74" s="217"/>
      <c r="I74" s="217"/>
      <c r="J74" s="217"/>
      <c r="K74" s="217"/>
      <c r="L74" s="217"/>
      <c r="M74" s="218"/>
    </row>
    <row r="76" spans="1:19" hidden="1" x14ac:dyDescent="0.2"/>
    <row r="77" spans="1:19" hidden="1" x14ac:dyDescent="0.2"/>
    <row r="78" spans="1:19" hidden="1" x14ac:dyDescent="0.2"/>
    <row r="79" spans="1:19" hidden="1" x14ac:dyDescent="0.2"/>
    <row r="80" spans="1:19"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spans="2:34" hidden="1" x14ac:dyDescent="0.2"/>
    <row r="114" spans="2:34" hidden="1" x14ac:dyDescent="0.2"/>
    <row r="115" spans="2:34" hidden="1" x14ac:dyDescent="0.2"/>
    <row r="116" spans="2:34" hidden="1" x14ac:dyDescent="0.2"/>
    <row r="117" spans="2:34" hidden="1" x14ac:dyDescent="0.2"/>
    <row r="118" spans="2:34" hidden="1" x14ac:dyDescent="0.2"/>
    <row r="119" spans="2:34" hidden="1" x14ac:dyDescent="0.2"/>
    <row r="120" spans="2:34" hidden="1" x14ac:dyDescent="0.2"/>
    <row r="121" spans="2:34" hidden="1" x14ac:dyDescent="0.2"/>
    <row r="122" spans="2:34" hidden="1" x14ac:dyDescent="0.2"/>
    <row r="123" spans="2:34" hidden="1" x14ac:dyDescent="0.2"/>
    <row r="124" spans="2:34" hidden="1" x14ac:dyDescent="0.2"/>
    <row r="125" spans="2:34" hidden="1" x14ac:dyDescent="0.2"/>
    <row r="126" spans="2:34" hidden="1" x14ac:dyDescent="0.2">
      <c r="B126" s="318"/>
      <c r="C126" s="318"/>
      <c r="D126" s="318"/>
      <c r="E126" s="318"/>
      <c r="F126" s="318"/>
      <c r="G126" s="318"/>
      <c r="H126" s="318"/>
      <c r="I126" s="318"/>
      <c r="J126" s="318"/>
      <c r="K126" s="318"/>
      <c r="L126" s="318"/>
      <c r="M126" s="318"/>
      <c r="N126" s="319"/>
      <c r="O126" s="318"/>
      <c r="P126" s="318"/>
      <c r="Q126" s="318"/>
      <c r="R126" s="318"/>
      <c r="T126" s="318"/>
      <c r="U126" s="318"/>
      <c r="V126" s="318"/>
      <c r="W126" s="318"/>
      <c r="X126" s="318"/>
      <c r="Y126" s="318"/>
      <c r="Z126" s="318"/>
      <c r="AA126" s="318"/>
      <c r="AB126" s="318"/>
      <c r="AC126" s="318"/>
      <c r="AD126" s="318"/>
      <c r="AE126" s="318"/>
      <c r="AF126" s="318"/>
      <c r="AG126" s="318"/>
      <c r="AH126" s="318"/>
    </row>
    <row r="127" spans="2:34" hidden="1" x14ac:dyDescent="0.2">
      <c r="B127" s="318"/>
      <c r="C127" s="318"/>
      <c r="D127" s="318"/>
      <c r="E127" s="318"/>
      <c r="F127" s="318"/>
      <c r="G127" s="318"/>
      <c r="H127" s="318"/>
      <c r="I127" s="318"/>
      <c r="J127" s="318"/>
      <c r="K127" s="318"/>
      <c r="L127" s="318"/>
      <c r="M127" s="318"/>
      <c r="N127" s="319"/>
      <c r="O127" s="318"/>
      <c r="P127" s="318"/>
      <c r="Q127" s="318"/>
      <c r="R127" s="318"/>
      <c r="T127" s="318"/>
      <c r="U127" s="318"/>
      <c r="V127" s="318"/>
      <c r="W127" s="318"/>
      <c r="X127" s="318"/>
      <c r="Y127" s="318"/>
      <c r="Z127" s="318"/>
      <c r="AA127" s="318"/>
      <c r="AB127" s="318"/>
      <c r="AC127" s="318"/>
      <c r="AD127" s="318"/>
      <c r="AE127" s="318"/>
      <c r="AF127" s="318"/>
      <c r="AG127" s="318"/>
      <c r="AH127" s="318"/>
    </row>
    <row r="128" spans="2:34" hidden="1" x14ac:dyDescent="0.2">
      <c r="B128" s="318"/>
      <c r="C128" s="318"/>
      <c r="D128" s="318"/>
      <c r="E128" s="318"/>
      <c r="F128" s="318"/>
      <c r="G128" s="318"/>
      <c r="H128" s="318"/>
      <c r="I128" s="318"/>
      <c r="J128" s="318"/>
      <c r="K128" s="318"/>
      <c r="L128" s="318"/>
      <c r="M128" s="318"/>
      <c r="N128" s="319"/>
      <c r="O128" s="318"/>
      <c r="P128" s="318"/>
      <c r="Q128" s="318"/>
      <c r="R128" s="318"/>
      <c r="T128" s="318"/>
      <c r="U128" s="318"/>
      <c r="V128" s="318"/>
      <c r="W128" s="318"/>
      <c r="X128" s="318"/>
      <c r="Y128" s="318"/>
      <c r="Z128" s="318"/>
      <c r="AA128" s="318"/>
      <c r="AB128" s="318"/>
      <c r="AC128" s="318"/>
      <c r="AD128" s="318"/>
      <c r="AE128" s="318"/>
      <c r="AF128" s="318"/>
      <c r="AG128" s="318"/>
      <c r="AH128" s="318"/>
    </row>
    <row r="129" spans="1:34" ht="15" hidden="1" x14ac:dyDescent="0.25">
      <c r="B129" s="316"/>
      <c r="C129" s="323" t="s">
        <v>643</v>
      </c>
      <c r="D129" s="323"/>
      <c r="E129" s="323"/>
      <c r="F129" s="324"/>
      <c r="G129" s="325"/>
      <c r="H129" s="325"/>
      <c r="I129" s="318"/>
      <c r="J129" s="316"/>
      <c r="K129" s="316"/>
      <c r="L129" s="316"/>
      <c r="M129" s="316"/>
      <c r="N129" s="320"/>
      <c r="O129" s="316"/>
      <c r="P129" s="318"/>
      <c r="Q129" s="318"/>
      <c r="R129" s="318"/>
      <c r="T129" s="318"/>
      <c r="U129" s="318"/>
      <c r="V129" s="318"/>
      <c r="W129" s="318"/>
      <c r="X129" s="318"/>
      <c r="Y129" s="318"/>
      <c r="Z129" s="318"/>
      <c r="AA129" s="318"/>
      <c r="AB129" s="318"/>
      <c r="AC129" s="318"/>
      <c r="AD129" s="318"/>
      <c r="AE129" s="318"/>
      <c r="AF129" s="318"/>
      <c r="AG129" s="318"/>
      <c r="AH129" s="318"/>
    </row>
    <row r="130" spans="1:34" ht="15" hidden="1" x14ac:dyDescent="0.25">
      <c r="B130" s="316"/>
      <c r="C130" s="361" t="s">
        <v>633</v>
      </c>
      <c r="D130" s="362" t="s">
        <v>634</v>
      </c>
      <c r="E130" s="362" t="s">
        <v>635</v>
      </c>
      <c r="F130" s="362" t="s">
        <v>636</v>
      </c>
      <c r="G130" s="363" t="s">
        <v>641</v>
      </c>
      <c r="H130" s="362" t="s">
        <v>739</v>
      </c>
      <c r="I130" s="635" t="s">
        <v>737</v>
      </c>
      <c r="J130" s="636"/>
      <c r="K130" s="350" t="s">
        <v>648</v>
      </c>
      <c r="L130" s="497" t="s">
        <v>649</v>
      </c>
      <c r="M130" s="321"/>
      <c r="N130" s="322"/>
      <c r="O130" s="321"/>
      <c r="P130" s="321"/>
      <c r="Q130" s="321"/>
      <c r="R130" s="321"/>
      <c r="T130" s="321"/>
      <c r="U130" s="321"/>
      <c r="V130" s="321"/>
      <c r="W130" s="321"/>
      <c r="X130" s="321"/>
      <c r="Y130" s="321"/>
      <c r="Z130" s="321"/>
      <c r="AA130" s="321"/>
      <c r="AB130" s="321"/>
      <c r="AC130" s="321" t="s">
        <v>650</v>
      </c>
      <c r="AE130" s="321"/>
      <c r="AF130" s="321"/>
      <c r="AG130" s="318"/>
      <c r="AH130" s="318"/>
    </row>
    <row r="131" spans="1:34" hidden="1" x14ac:dyDescent="0.2">
      <c r="B131" s="318"/>
      <c r="C131" s="468" t="b">
        <v>1</v>
      </c>
      <c r="D131" s="469" t="b">
        <v>1</v>
      </c>
      <c r="E131" s="469" t="b">
        <v>1</v>
      </c>
      <c r="F131" s="469" t="b">
        <v>1</v>
      </c>
      <c r="G131" s="470" t="str">
        <f xml:space="preserve"> C131 &amp; "_" &amp; D131 &amp;"_"&amp; E131 &amp; "_" &amp; F131</f>
        <v>TRUE_TRUE_TRUE_TRUE</v>
      </c>
      <c r="H131" s="471">
        <f>ABIMonthlyCAPplus1</f>
        <v>2286</v>
      </c>
      <c r="I131" s="602" t="s">
        <v>745</v>
      </c>
      <c r="J131" s="603"/>
      <c r="K131" s="472" t="s">
        <v>632</v>
      </c>
      <c r="L131" s="24" t="str">
        <f>DDSABI&amp;"_"&amp;CapitalLease&amp;"_"&amp; SiteApprovalGTEQFY19&amp; "_" &amp; CEDACAPPLIED</f>
        <v>FALSE_FALSE_FALSE_FALSE</v>
      </c>
      <c r="N131" s="322"/>
      <c r="O131" s="321"/>
      <c r="P131" s="321"/>
      <c r="Q131" s="321"/>
      <c r="R131" s="321"/>
      <c r="T131" s="321"/>
      <c r="U131" s="321"/>
      <c r="V131" s="321"/>
      <c r="W131" s="321"/>
      <c r="X131" s="321"/>
      <c r="Y131" s="321"/>
      <c r="Z131" s="321"/>
      <c r="AA131" s="321"/>
      <c r="AB131" s="321"/>
      <c r="AC131" s="321" t="str">
        <f t="shared" ref="AC131:AC146" si="4">G131</f>
        <v>TRUE_TRUE_TRUE_TRUE</v>
      </c>
      <c r="AE131" s="321"/>
      <c r="AF131" s="321"/>
      <c r="AG131" s="318"/>
      <c r="AH131" s="318"/>
    </row>
    <row r="132" spans="1:34" hidden="1" x14ac:dyDescent="0.2">
      <c r="B132" s="318"/>
      <c r="C132" s="468" t="b">
        <v>1</v>
      </c>
      <c r="D132" s="469" t="b">
        <v>1</v>
      </c>
      <c r="E132" s="469" t="b">
        <v>1</v>
      </c>
      <c r="F132" s="469" t="b">
        <v>0</v>
      </c>
      <c r="G132" s="470" t="str">
        <f t="shared" ref="G132:G145" si="5" xml:space="preserve"> C132 &amp; "_" &amp; D132 &amp;"_"&amp; E132 &amp; "_" &amp; F132</f>
        <v>TRUE_TRUE_TRUE_FALSE</v>
      </c>
      <c r="H132" s="471">
        <f>ABIMonthlyCAP</f>
        <v>2136</v>
      </c>
      <c r="I132" s="602" t="s">
        <v>742</v>
      </c>
      <c r="J132" s="603"/>
      <c r="K132" s="472" t="s">
        <v>637</v>
      </c>
      <c r="M132" s="321"/>
      <c r="N132" s="322"/>
      <c r="O132" s="321"/>
      <c r="P132" s="321"/>
      <c r="Q132" s="321"/>
      <c r="R132" s="321"/>
      <c r="T132" s="321"/>
      <c r="U132" s="321"/>
      <c r="V132" s="321"/>
      <c r="W132" s="321"/>
      <c r="X132" s="321"/>
      <c r="Y132" s="321"/>
      <c r="Z132" s="321"/>
      <c r="AA132" s="321"/>
      <c r="AB132" s="321"/>
      <c r="AC132" s="321" t="str">
        <f t="shared" si="4"/>
        <v>TRUE_TRUE_TRUE_FALSE</v>
      </c>
      <c r="AE132" s="321"/>
      <c r="AF132" s="321"/>
      <c r="AG132" s="318"/>
      <c r="AH132" s="318"/>
    </row>
    <row r="133" spans="1:34" hidden="1" x14ac:dyDescent="0.2">
      <c r="B133" s="318"/>
      <c r="C133" s="473" t="b">
        <v>1</v>
      </c>
      <c r="D133" s="474" t="b">
        <v>1</v>
      </c>
      <c r="E133" s="474" t="b">
        <v>0</v>
      </c>
      <c r="F133" s="474" t="b">
        <v>1</v>
      </c>
      <c r="G133" s="475" t="str">
        <f t="shared" si="5"/>
        <v>TRUE_TRUE_FALSE_TRUE</v>
      </c>
      <c r="H133" s="476" t="s">
        <v>52</v>
      </c>
      <c r="I133" s="602" t="s">
        <v>738</v>
      </c>
      <c r="J133" s="603"/>
      <c r="K133" s="477" t="s">
        <v>638</v>
      </c>
      <c r="M133" s="321"/>
      <c r="N133" s="322"/>
      <c r="O133" s="321"/>
      <c r="P133" s="321"/>
      <c r="Q133" s="321"/>
      <c r="R133" s="321"/>
      <c r="T133" s="321"/>
      <c r="U133" s="321"/>
      <c r="V133" s="321"/>
      <c r="W133" s="321"/>
      <c r="X133" s="321"/>
      <c r="Y133" s="321"/>
      <c r="Z133" s="321"/>
      <c r="AA133" s="321"/>
      <c r="AB133" s="321"/>
      <c r="AC133" s="321" t="str">
        <f t="shared" si="4"/>
        <v>TRUE_TRUE_FALSE_TRUE</v>
      </c>
      <c r="AE133" s="321"/>
      <c r="AF133" s="321"/>
      <c r="AG133" s="318"/>
      <c r="AH133" s="318"/>
    </row>
    <row r="134" spans="1:34" s="318" customFormat="1" hidden="1" x14ac:dyDescent="0.2">
      <c r="A134" s="246"/>
      <c r="C134" s="473" t="b">
        <v>1</v>
      </c>
      <c r="D134" s="474" t="b">
        <v>1</v>
      </c>
      <c r="E134" s="474" t="b">
        <v>0</v>
      </c>
      <c r="F134" s="474" t="b">
        <v>0</v>
      </c>
      <c r="G134" s="475" t="str">
        <f t="shared" ref="G134" si="6" xml:space="preserve"> C134 &amp; "_" &amp; D134 &amp;"_"&amp; E134 &amp; "_" &amp; F134</f>
        <v>TRUE_TRUE_FALSE_FALSE</v>
      </c>
      <c r="H134" s="476" t="s">
        <v>52</v>
      </c>
      <c r="I134" s="602" t="s">
        <v>738</v>
      </c>
      <c r="J134" s="603"/>
      <c r="K134" s="477" t="s">
        <v>638</v>
      </c>
      <c r="M134" s="321"/>
      <c r="N134" s="322"/>
      <c r="O134" s="321"/>
      <c r="P134" s="321"/>
      <c r="Q134" s="321"/>
      <c r="R134" s="321"/>
      <c r="S134" s="422"/>
      <c r="T134" s="321"/>
      <c r="U134" s="321"/>
      <c r="V134" s="321"/>
      <c r="W134" s="321"/>
      <c r="X134" s="321"/>
      <c r="Y134" s="321"/>
      <c r="Z134" s="321"/>
      <c r="AA134" s="321"/>
      <c r="AB134" s="321"/>
      <c r="AC134" s="321" t="str">
        <f t="shared" si="4"/>
        <v>TRUE_TRUE_FALSE_FALSE</v>
      </c>
      <c r="AE134" s="321"/>
      <c r="AF134" s="321"/>
    </row>
    <row r="135" spans="1:34" hidden="1" x14ac:dyDescent="0.2">
      <c r="A135" s="257"/>
      <c r="B135" s="320"/>
      <c r="C135" s="478" t="b">
        <v>1</v>
      </c>
      <c r="D135" s="479" t="b">
        <v>0</v>
      </c>
      <c r="E135" s="479" t="b">
        <v>1</v>
      </c>
      <c r="F135" s="479" t="b">
        <v>1</v>
      </c>
      <c r="G135" s="480" t="str">
        <f t="shared" si="5"/>
        <v>TRUE_FALSE_TRUE_TRUE</v>
      </c>
      <c r="H135" s="471">
        <f>ABIMonthlyCAP</f>
        <v>2136</v>
      </c>
      <c r="I135" s="602" t="s">
        <v>742</v>
      </c>
      <c r="J135" s="603"/>
      <c r="K135" s="472" t="s">
        <v>637</v>
      </c>
      <c r="M135" s="321"/>
      <c r="N135" s="322"/>
      <c r="O135" s="321"/>
      <c r="P135" s="321"/>
      <c r="Q135" s="321"/>
      <c r="R135" s="321"/>
      <c r="T135" s="321"/>
      <c r="U135" s="321"/>
      <c r="V135" s="321"/>
      <c r="W135" s="321"/>
      <c r="X135" s="321"/>
      <c r="Y135" s="321"/>
      <c r="Z135" s="321"/>
      <c r="AA135" s="321"/>
      <c r="AB135" s="321"/>
      <c r="AC135" s="321" t="str">
        <f t="shared" si="4"/>
        <v>TRUE_FALSE_TRUE_TRUE</v>
      </c>
      <c r="AE135" s="321"/>
      <c r="AF135" s="321"/>
      <c r="AG135" s="318"/>
      <c r="AH135" s="318"/>
    </row>
    <row r="136" spans="1:34" s="318" customFormat="1" hidden="1" x14ac:dyDescent="0.2">
      <c r="A136" s="257"/>
      <c r="B136" s="320"/>
      <c r="C136" s="478" t="b">
        <v>1</v>
      </c>
      <c r="D136" s="479" t="b">
        <v>0</v>
      </c>
      <c r="E136" s="479" t="b">
        <v>1</v>
      </c>
      <c r="F136" s="479" t="b">
        <v>0</v>
      </c>
      <c r="G136" s="480" t="str">
        <f t="shared" ref="G136" si="7" xml:space="preserve"> C136 &amp; "_" &amp; D136 &amp;"_"&amp; E136 &amp; "_" &amp; F136</f>
        <v>TRUE_FALSE_TRUE_FALSE</v>
      </c>
      <c r="H136" s="471">
        <f>ABIMonthlyCAP</f>
        <v>2136</v>
      </c>
      <c r="I136" s="602" t="s">
        <v>742</v>
      </c>
      <c r="J136" s="603"/>
      <c r="K136" s="472" t="s">
        <v>637</v>
      </c>
      <c r="M136" s="321"/>
      <c r="N136" s="322"/>
      <c r="O136" s="321"/>
      <c r="P136" s="321"/>
      <c r="Q136" s="321"/>
      <c r="R136" s="321"/>
      <c r="S136" s="422"/>
      <c r="T136" s="321"/>
      <c r="U136" s="321"/>
      <c r="V136" s="321"/>
      <c r="W136" s="321"/>
      <c r="X136" s="321"/>
      <c r="Y136" s="321"/>
      <c r="Z136" s="321"/>
      <c r="AA136" s="321"/>
      <c r="AB136" s="321"/>
      <c r="AC136" s="321" t="str">
        <f t="shared" si="4"/>
        <v>TRUE_FALSE_TRUE_FALSE</v>
      </c>
      <c r="AE136" s="321"/>
      <c r="AF136" s="321"/>
    </row>
    <row r="137" spans="1:34" hidden="1" x14ac:dyDescent="0.2">
      <c r="A137" s="257"/>
      <c r="B137" s="320"/>
      <c r="C137" s="481" t="b">
        <v>1</v>
      </c>
      <c r="D137" s="482" t="b">
        <v>0</v>
      </c>
      <c r="E137" s="482" t="b">
        <v>0</v>
      </c>
      <c r="F137" s="482" t="b">
        <v>1</v>
      </c>
      <c r="G137" s="483" t="str">
        <f t="shared" si="5"/>
        <v>TRUE_FALSE_FALSE_TRUE</v>
      </c>
      <c r="H137" s="476" t="s">
        <v>52</v>
      </c>
      <c r="I137" s="602" t="s">
        <v>738</v>
      </c>
      <c r="J137" s="603"/>
      <c r="K137" s="477" t="s">
        <v>638</v>
      </c>
      <c r="M137" s="321"/>
      <c r="N137" s="322"/>
      <c r="O137" s="321"/>
      <c r="P137" s="321"/>
      <c r="Q137" s="321"/>
      <c r="R137" s="321"/>
      <c r="T137" s="321"/>
      <c r="U137" s="321"/>
      <c r="V137" s="321"/>
      <c r="W137" s="321"/>
      <c r="X137" s="321"/>
      <c r="Y137" s="321"/>
      <c r="Z137" s="321"/>
      <c r="AA137" s="321"/>
      <c r="AB137" s="321"/>
      <c r="AC137" s="321" t="str">
        <f t="shared" si="4"/>
        <v>TRUE_FALSE_FALSE_TRUE</v>
      </c>
      <c r="AE137" s="321"/>
      <c r="AF137" s="321"/>
      <c r="AG137" s="318"/>
      <c r="AH137" s="318"/>
    </row>
    <row r="138" spans="1:34" s="318" customFormat="1" hidden="1" x14ac:dyDescent="0.2">
      <c r="A138" s="257"/>
      <c r="B138" s="320"/>
      <c r="C138" s="481" t="b">
        <v>1</v>
      </c>
      <c r="D138" s="482" t="b">
        <v>0</v>
      </c>
      <c r="E138" s="482" t="b">
        <v>0</v>
      </c>
      <c r="F138" s="482" t="b">
        <v>0</v>
      </c>
      <c r="G138" s="483" t="str">
        <f t="shared" ref="G138" si="8" xml:space="preserve"> C138 &amp; "_" &amp; D138 &amp;"_"&amp; E138 &amp; "_" &amp; F138</f>
        <v>TRUE_FALSE_FALSE_FALSE</v>
      </c>
      <c r="H138" s="476" t="s">
        <v>52</v>
      </c>
      <c r="I138" s="602" t="s">
        <v>738</v>
      </c>
      <c r="J138" s="603"/>
      <c r="K138" s="477" t="s">
        <v>638</v>
      </c>
      <c r="M138" s="321"/>
      <c r="N138" s="322"/>
      <c r="O138" s="321"/>
      <c r="P138" s="321"/>
      <c r="Q138" s="321"/>
      <c r="R138" s="321"/>
      <c r="S138" s="422"/>
      <c r="T138" s="321"/>
      <c r="U138" s="321"/>
      <c r="V138" s="321"/>
      <c r="W138" s="321"/>
      <c r="X138" s="321"/>
      <c r="Y138" s="321"/>
      <c r="Z138" s="321"/>
      <c r="AA138" s="321"/>
      <c r="AB138" s="321"/>
      <c r="AC138" s="321" t="str">
        <f t="shared" si="4"/>
        <v>TRUE_FALSE_FALSE_FALSE</v>
      </c>
      <c r="AE138" s="321"/>
      <c r="AF138" s="321"/>
    </row>
    <row r="139" spans="1:34" hidden="1" x14ac:dyDescent="0.2">
      <c r="A139" s="257"/>
      <c r="B139" s="320"/>
      <c r="C139" s="468" t="b">
        <v>0</v>
      </c>
      <c r="D139" s="469" t="b">
        <v>1</v>
      </c>
      <c r="E139" s="469" t="b">
        <v>1</v>
      </c>
      <c r="F139" s="469" t="b">
        <v>1</v>
      </c>
      <c r="G139" s="470" t="str">
        <f t="shared" si="5"/>
        <v>FALSE_TRUE_TRUE_TRUE</v>
      </c>
      <c r="H139" s="471">
        <f>RegCapPlus1</f>
        <v>0</v>
      </c>
      <c r="I139" s="602" t="s">
        <v>744</v>
      </c>
      <c r="J139" s="603"/>
      <c r="K139" s="477" t="s">
        <v>639</v>
      </c>
      <c r="M139" s="321"/>
      <c r="N139" s="322"/>
      <c r="O139" s="321"/>
      <c r="P139" s="321"/>
      <c r="Q139" s="321"/>
      <c r="R139" s="321"/>
      <c r="T139" s="321"/>
      <c r="U139" s="321"/>
      <c r="V139" s="321"/>
      <c r="W139" s="321"/>
      <c r="X139" s="321"/>
      <c r="Y139" s="321"/>
      <c r="Z139" s="321"/>
      <c r="AA139" s="321"/>
      <c r="AB139" s="321"/>
      <c r="AC139" s="321" t="str">
        <f t="shared" si="4"/>
        <v>FALSE_TRUE_TRUE_TRUE</v>
      </c>
      <c r="AE139" s="321"/>
      <c r="AF139" s="321"/>
      <c r="AG139" s="318"/>
      <c r="AH139" s="318"/>
    </row>
    <row r="140" spans="1:34" hidden="1" x14ac:dyDescent="0.2">
      <c r="A140" s="257"/>
      <c r="B140" s="320"/>
      <c r="C140" s="468" t="b">
        <v>0</v>
      </c>
      <c r="D140" s="469" t="b">
        <v>1</v>
      </c>
      <c r="E140" s="469" t="b">
        <v>1</v>
      </c>
      <c r="F140" s="469" t="b">
        <v>0</v>
      </c>
      <c r="G140" s="470" t="str">
        <f t="shared" si="5"/>
        <v>FALSE_TRUE_TRUE_FALSE</v>
      </c>
      <c r="H140" s="471">
        <f>RegCap</f>
        <v>0</v>
      </c>
      <c r="I140" s="602" t="s">
        <v>743</v>
      </c>
      <c r="J140" s="603"/>
      <c r="K140" s="477" t="s">
        <v>640</v>
      </c>
      <c r="M140" s="321"/>
      <c r="N140" s="322"/>
      <c r="O140" s="321"/>
      <c r="P140" s="321"/>
      <c r="Q140" s="321"/>
      <c r="R140" s="321"/>
      <c r="T140" s="321"/>
      <c r="U140" s="321"/>
      <c r="V140" s="321"/>
      <c r="W140" s="321"/>
      <c r="X140" s="321"/>
      <c r="Y140" s="321"/>
      <c r="Z140" s="321"/>
      <c r="AA140" s="321"/>
      <c r="AB140" s="321"/>
      <c r="AC140" s="321" t="str">
        <f t="shared" si="4"/>
        <v>FALSE_TRUE_TRUE_FALSE</v>
      </c>
      <c r="AE140" s="321"/>
      <c r="AF140" s="321"/>
      <c r="AG140" s="318"/>
      <c r="AH140" s="318"/>
    </row>
    <row r="141" spans="1:34" hidden="1" x14ac:dyDescent="0.2">
      <c r="A141" s="257"/>
      <c r="B141" s="320"/>
      <c r="C141" s="484" t="b">
        <v>0</v>
      </c>
      <c r="D141" s="485" t="b">
        <v>1</v>
      </c>
      <c r="E141" s="485" t="b">
        <v>0</v>
      </c>
      <c r="F141" s="485" t="b">
        <v>1</v>
      </c>
      <c r="G141" s="486" t="str">
        <f t="shared" si="5"/>
        <v>FALSE_TRUE_FALSE_TRUE</v>
      </c>
      <c r="H141" s="476" t="s">
        <v>52</v>
      </c>
      <c r="I141" s="602" t="s">
        <v>738</v>
      </c>
      <c r="J141" s="603"/>
      <c r="K141" s="477" t="s">
        <v>638</v>
      </c>
      <c r="M141" s="321"/>
      <c r="N141" s="322"/>
      <c r="O141" s="321"/>
      <c r="P141" s="321"/>
      <c r="Q141" s="321"/>
      <c r="R141" s="321"/>
      <c r="T141" s="321"/>
      <c r="U141" s="321"/>
      <c r="V141" s="321"/>
      <c r="W141" s="321"/>
      <c r="X141" s="321"/>
      <c r="Y141" s="321"/>
      <c r="Z141" s="321"/>
      <c r="AA141" s="321"/>
      <c r="AB141" s="321"/>
      <c r="AC141" s="321" t="str">
        <f t="shared" si="4"/>
        <v>FALSE_TRUE_FALSE_TRUE</v>
      </c>
      <c r="AE141" s="321"/>
      <c r="AF141" s="321"/>
      <c r="AG141" s="318"/>
      <c r="AH141" s="318"/>
    </row>
    <row r="142" spans="1:34" s="318" customFormat="1" hidden="1" x14ac:dyDescent="0.2">
      <c r="A142" s="257"/>
      <c r="B142" s="320"/>
      <c r="C142" s="484" t="b">
        <v>0</v>
      </c>
      <c r="D142" s="485" t="b">
        <v>1</v>
      </c>
      <c r="E142" s="485" t="b">
        <v>0</v>
      </c>
      <c r="F142" s="485" t="b">
        <v>0</v>
      </c>
      <c r="G142" s="486" t="str">
        <f t="shared" ref="G142" si="9" xml:space="preserve"> C142 &amp; "_" &amp; D142 &amp;"_"&amp; E142 &amp; "_" &amp; F142</f>
        <v>FALSE_TRUE_FALSE_FALSE</v>
      </c>
      <c r="H142" s="476" t="s">
        <v>52</v>
      </c>
      <c r="I142" s="602" t="s">
        <v>738</v>
      </c>
      <c r="J142" s="603"/>
      <c r="K142" s="477" t="s">
        <v>638</v>
      </c>
      <c r="M142" s="321"/>
      <c r="N142" s="322"/>
      <c r="O142" s="321"/>
      <c r="P142" s="321"/>
      <c r="Q142" s="321"/>
      <c r="R142" s="321"/>
      <c r="S142" s="422"/>
      <c r="T142" s="321"/>
      <c r="U142" s="321"/>
      <c r="V142" s="321"/>
      <c r="W142" s="321"/>
      <c r="X142" s="321"/>
      <c r="Y142" s="321"/>
      <c r="Z142" s="321"/>
      <c r="AA142" s="321"/>
      <c r="AB142" s="321"/>
      <c r="AC142" s="321" t="str">
        <f t="shared" si="4"/>
        <v>FALSE_TRUE_FALSE_FALSE</v>
      </c>
      <c r="AE142" s="321"/>
      <c r="AF142" s="321"/>
    </row>
    <row r="143" spans="1:34" hidden="1" x14ac:dyDescent="0.2">
      <c r="A143" s="257"/>
      <c r="B143" s="320"/>
      <c r="C143" s="487" t="b">
        <v>0</v>
      </c>
      <c r="D143" s="488" t="b">
        <v>0</v>
      </c>
      <c r="E143" s="488" t="b">
        <v>1</v>
      </c>
      <c r="F143" s="488" t="b">
        <v>1</v>
      </c>
      <c r="G143" s="489" t="str">
        <f t="shared" si="5"/>
        <v>FALSE_FALSE_TRUE_TRUE</v>
      </c>
      <c r="H143" s="471">
        <f>RegCap</f>
        <v>0</v>
      </c>
      <c r="I143" s="602" t="s">
        <v>743</v>
      </c>
      <c r="J143" s="603"/>
      <c r="K143" s="477" t="s">
        <v>640</v>
      </c>
      <c r="M143" s="321"/>
      <c r="N143" s="322"/>
      <c r="O143" s="321"/>
      <c r="P143" s="321"/>
      <c r="Q143" s="321"/>
      <c r="R143" s="321"/>
      <c r="T143" s="321"/>
      <c r="U143" s="321"/>
      <c r="V143" s="321"/>
      <c r="W143" s="321"/>
      <c r="X143" s="321"/>
      <c r="Y143" s="321"/>
      <c r="Z143" s="321"/>
      <c r="AA143" s="321"/>
      <c r="AB143" s="321"/>
      <c r="AC143" s="321" t="str">
        <f t="shared" si="4"/>
        <v>FALSE_FALSE_TRUE_TRUE</v>
      </c>
      <c r="AE143" s="321"/>
      <c r="AF143" s="321"/>
      <c r="AG143" s="318"/>
      <c r="AH143" s="318"/>
    </row>
    <row r="144" spans="1:34" s="318" customFormat="1" hidden="1" x14ac:dyDescent="0.2">
      <c r="A144" s="257"/>
      <c r="B144" s="320"/>
      <c r="C144" s="487" t="b">
        <v>0</v>
      </c>
      <c r="D144" s="488" t="b">
        <v>0</v>
      </c>
      <c r="E144" s="488" t="b">
        <v>1</v>
      </c>
      <c r="F144" s="488" t="b">
        <v>0</v>
      </c>
      <c r="G144" s="489" t="str">
        <f t="shared" ref="G144" si="10" xml:space="preserve"> C144 &amp; "_" &amp; D144 &amp;"_"&amp; E144 &amp; "_" &amp; F144</f>
        <v>FALSE_FALSE_TRUE_FALSE</v>
      </c>
      <c r="H144" s="471">
        <f>RegCap</f>
        <v>0</v>
      </c>
      <c r="I144" s="602" t="s">
        <v>743</v>
      </c>
      <c r="J144" s="603"/>
      <c r="K144" s="477" t="s">
        <v>640</v>
      </c>
      <c r="M144" s="321"/>
      <c r="N144" s="322"/>
      <c r="O144" s="321"/>
      <c r="P144" s="321"/>
      <c r="Q144" s="321"/>
      <c r="R144" s="321"/>
      <c r="S144" s="422"/>
      <c r="T144" s="321"/>
      <c r="U144" s="321"/>
      <c r="V144" s="321"/>
      <c r="W144" s="321"/>
      <c r="X144" s="321"/>
      <c r="Y144" s="321"/>
      <c r="Z144" s="321"/>
      <c r="AA144" s="321"/>
      <c r="AB144" s="321"/>
      <c r="AC144" s="321" t="str">
        <f t="shared" si="4"/>
        <v>FALSE_FALSE_TRUE_FALSE</v>
      </c>
      <c r="AE144" s="321"/>
      <c r="AF144" s="321"/>
    </row>
    <row r="145" spans="1:34" hidden="1" x14ac:dyDescent="0.2">
      <c r="A145" s="257"/>
      <c r="B145" s="320"/>
      <c r="C145" s="490" t="b">
        <v>0</v>
      </c>
      <c r="D145" s="491" t="b">
        <v>0</v>
      </c>
      <c r="E145" s="491" t="b">
        <v>0</v>
      </c>
      <c r="F145" s="491" t="b">
        <v>1</v>
      </c>
      <c r="G145" s="492" t="str">
        <f t="shared" si="5"/>
        <v>FALSE_FALSE_FALSE_TRUE</v>
      </c>
      <c r="H145" s="476" t="s">
        <v>52</v>
      </c>
      <c r="I145" s="602" t="s">
        <v>738</v>
      </c>
      <c r="J145" s="603"/>
      <c r="K145" s="477" t="s">
        <v>638</v>
      </c>
      <c r="M145" s="321"/>
      <c r="N145" s="322"/>
      <c r="O145" s="321"/>
      <c r="P145" s="321"/>
      <c r="Q145" s="321"/>
      <c r="R145" s="321"/>
      <c r="T145" s="321"/>
      <c r="U145" s="321"/>
      <c r="V145" s="321"/>
      <c r="W145" s="321"/>
      <c r="X145" s="321"/>
      <c r="Y145" s="321"/>
      <c r="Z145" s="321"/>
      <c r="AA145" s="321"/>
      <c r="AB145" s="321"/>
      <c r="AC145" s="321" t="str">
        <f t="shared" si="4"/>
        <v>FALSE_FALSE_FALSE_TRUE</v>
      </c>
      <c r="AE145" s="321"/>
      <c r="AF145" s="321"/>
      <c r="AG145" s="318"/>
      <c r="AH145" s="318"/>
    </row>
    <row r="146" spans="1:34" hidden="1" x14ac:dyDescent="0.2">
      <c r="A146" s="257"/>
      <c r="B146" s="320"/>
      <c r="C146" s="493" t="b">
        <v>0</v>
      </c>
      <c r="D146" s="494" t="b">
        <v>0</v>
      </c>
      <c r="E146" s="494" t="b">
        <v>0</v>
      </c>
      <c r="F146" s="494" t="b">
        <v>0</v>
      </c>
      <c r="G146" s="495" t="str">
        <f t="shared" ref="G146" si="11" xml:space="preserve"> C146 &amp; "_" &amp; D146 &amp;"_"&amp; E146 &amp; "_" &amp; F146</f>
        <v>FALSE_FALSE_FALSE_FALSE</v>
      </c>
      <c r="H146" s="496" t="s">
        <v>52</v>
      </c>
      <c r="I146" s="629" t="s">
        <v>738</v>
      </c>
      <c r="J146" s="630"/>
      <c r="K146" s="477" t="s">
        <v>638</v>
      </c>
      <c r="M146" s="321"/>
      <c r="N146" s="322"/>
      <c r="O146" s="321"/>
      <c r="P146" s="321"/>
      <c r="Q146" s="321"/>
      <c r="R146" s="321"/>
      <c r="T146" s="321"/>
      <c r="U146" s="321"/>
      <c r="V146" s="321"/>
      <c r="W146" s="321"/>
      <c r="X146" s="321"/>
      <c r="Y146" s="321"/>
      <c r="Z146" s="321"/>
      <c r="AA146" s="321"/>
      <c r="AB146" s="321"/>
      <c r="AC146" s="321" t="str">
        <f t="shared" si="4"/>
        <v>FALSE_FALSE_FALSE_FALSE</v>
      </c>
      <c r="AE146" s="321"/>
      <c r="AF146" s="321"/>
      <c r="AG146" s="318"/>
      <c r="AH146" s="318"/>
    </row>
    <row r="147" spans="1:34" hidden="1" x14ac:dyDescent="0.2">
      <c r="A147" s="257"/>
      <c r="B147" s="320"/>
      <c r="C147" s="318"/>
      <c r="D147" s="318"/>
      <c r="E147" s="318"/>
      <c r="F147" s="318"/>
      <c r="G147" s="318"/>
      <c r="H147" s="318"/>
      <c r="I147" s="318"/>
      <c r="J147" s="318"/>
      <c r="K147" s="318"/>
      <c r="L147" s="318"/>
      <c r="M147" s="318"/>
      <c r="N147" s="319"/>
      <c r="O147" s="318"/>
      <c r="P147" s="318"/>
      <c r="Q147" s="318"/>
      <c r="R147" s="318"/>
      <c r="T147" s="318"/>
      <c r="U147" s="318"/>
      <c r="V147" s="318"/>
      <c r="W147" s="318"/>
      <c r="X147" s="318"/>
      <c r="Y147" s="318"/>
      <c r="Z147" s="318"/>
      <c r="AA147" s="318"/>
      <c r="AB147" s="318"/>
      <c r="AC147" s="318"/>
      <c r="AD147" s="318"/>
      <c r="AE147" s="318"/>
      <c r="AF147" s="318"/>
      <c r="AG147" s="318"/>
      <c r="AH147" s="318"/>
    </row>
    <row r="148" spans="1:34" hidden="1" x14ac:dyDescent="0.2">
      <c r="A148" s="257"/>
      <c r="B148" s="320"/>
      <c r="C148" s="318"/>
      <c r="D148" s="318"/>
      <c r="E148" s="318"/>
      <c r="F148" s="318"/>
      <c r="G148" s="318" t="s">
        <v>740</v>
      </c>
      <c r="H148" s="364" t="str">
        <f xml:space="preserve">  IF((DDSRes + DDSABI + MCBRes + MRCRes = 1),     VLOOKUP(( DDSABI     &amp;"_"&amp;CapitalLease&amp;"_"&amp;SiteApprovalGTEQFY19&amp;"_"&amp;CEDACAPPLIED),G131:H146,2,FALSE), "-")</f>
        <v>-</v>
      </c>
      <c r="I148" s="318"/>
      <c r="J148" s="318"/>
      <c r="K148" s="318"/>
      <c r="L148" s="318"/>
      <c r="M148" s="318"/>
      <c r="N148" s="319"/>
      <c r="O148" s="318"/>
      <c r="P148" s="318"/>
      <c r="Q148" s="318"/>
      <c r="R148" s="318"/>
      <c r="T148" s="318"/>
      <c r="U148" s="318"/>
      <c r="V148" s="318"/>
      <c r="W148" s="318"/>
      <c r="X148" s="318"/>
      <c r="Y148" s="318"/>
      <c r="Z148" s="318"/>
      <c r="AA148" s="318"/>
      <c r="AB148" s="318"/>
      <c r="AC148" s="318"/>
      <c r="AD148" s="318"/>
      <c r="AE148" s="318"/>
      <c r="AF148" s="318"/>
      <c r="AG148" s="318"/>
      <c r="AH148" s="318"/>
    </row>
    <row r="149" spans="1:34" hidden="1" x14ac:dyDescent="0.2">
      <c r="B149" s="320"/>
      <c r="C149" s="318"/>
      <c r="D149" s="318"/>
      <c r="E149" s="318"/>
      <c r="F149" s="318"/>
      <c r="G149" s="318" t="s">
        <v>741</v>
      </c>
      <c r="H149" s="631" t="str">
        <f xml:space="preserve">  IF((DDSRes + DDSABI + MCBRes + MRCRes = 1),     VLOOKUP(( DDSABI     &amp;"_"&amp;CapitalLease&amp;"_"&amp;SiteApprovalGTEQFY19&amp;"_"&amp;CEDACAPPLIED),G131:I146,3,FALSE), "-")</f>
        <v>-</v>
      </c>
      <c r="I149" s="632"/>
      <c r="J149" s="318"/>
      <c r="K149" s="318"/>
      <c r="L149" s="318"/>
      <c r="M149" s="318"/>
      <c r="N149" s="319"/>
      <c r="O149" s="318"/>
      <c r="P149" s="318"/>
      <c r="Q149" s="318"/>
      <c r="R149" s="318"/>
      <c r="T149" s="318"/>
      <c r="U149" s="318"/>
      <c r="V149" s="318"/>
      <c r="W149" s="318"/>
      <c r="X149" s="318"/>
      <c r="Y149" s="318"/>
      <c r="Z149" s="318"/>
      <c r="AA149" s="318"/>
      <c r="AB149" s="318"/>
      <c r="AC149" s="318"/>
      <c r="AD149" s="318"/>
      <c r="AE149" s="318"/>
      <c r="AF149" s="318"/>
      <c r="AG149" s="318"/>
      <c r="AH149" s="318"/>
    </row>
    <row r="150" spans="1:34" hidden="1" x14ac:dyDescent="0.2">
      <c r="A150" s="257"/>
      <c r="B150" s="320"/>
      <c r="C150" s="318"/>
      <c r="D150" s="318"/>
      <c r="E150" s="318"/>
      <c r="F150" s="318"/>
      <c r="G150" s="318"/>
      <c r="H150" s="633"/>
      <c r="I150" s="634"/>
      <c r="J150" s="318"/>
      <c r="K150" s="318"/>
      <c r="L150" s="318"/>
      <c r="M150" s="318"/>
      <c r="N150" s="319"/>
      <c r="O150" s="318"/>
      <c r="P150" s="318"/>
      <c r="Q150" s="318"/>
      <c r="R150" s="318"/>
      <c r="T150" s="318"/>
      <c r="U150" s="318"/>
      <c r="V150" s="318"/>
      <c r="W150" s="318"/>
      <c r="X150" s="318"/>
      <c r="Y150" s="318"/>
      <c r="Z150" s="318"/>
      <c r="AA150" s="318"/>
      <c r="AB150" s="318"/>
      <c r="AC150" s="318"/>
      <c r="AD150" s="318"/>
      <c r="AE150" s="318"/>
      <c r="AF150" s="318"/>
      <c r="AG150" s="318"/>
      <c r="AH150" s="318"/>
    </row>
    <row r="151" spans="1:34" hidden="1" x14ac:dyDescent="0.2">
      <c r="A151" s="257"/>
      <c r="B151" s="69"/>
    </row>
    <row r="152" spans="1:34" hidden="1" x14ac:dyDescent="0.2">
      <c r="A152" s="354"/>
      <c r="B152" s="69"/>
      <c r="C152" s="7" t="s">
        <v>761</v>
      </c>
    </row>
    <row r="153" spans="1:34" s="436" customFormat="1" hidden="1" x14ac:dyDescent="0.25">
      <c r="A153" s="434"/>
      <c r="B153" s="435"/>
      <c r="C153" s="436" t="s">
        <v>763</v>
      </c>
      <c r="D153" s="436" t="s">
        <v>762</v>
      </c>
      <c r="E153" s="301" t="s">
        <v>586</v>
      </c>
      <c r="F153" s="436" t="s">
        <v>764</v>
      </c>
      <c r="G153" s="436" t="s">
        <v>766</v>
      </c>
      <c r="N153" s="437"/>
      <c r="S153" s="420"/>
    </row>
    <row r="154" spans="1:34" hidden="1" x14ac:dyDescent="0.2">
      <c r="A154" s="355">
        <f>IF(TotalCapacity &gt; 0, ROUND(ProjAnnExpenses/TotalCapacity/365,2),0)</f>
        <v>0</v>
      </c>
      <c r="B154" s="69"/>
      <c r="C154" s="57" t="b">
        <f>AND(OR(Purchase, CapitalLease),Lease = FALSE)</f>
        <v>0</v>
      </c>
      <c r="D154" s="57" t="b">
        <f>AND(Lease, AND(Purchase, CapitalLease) = FALSE)</f>
        <v>0</v>
      </c>
      <c r="E154" s="65" t="str">
        <f>IF(TotalCapacity&gt;3, "4+","1-3")</f>
        <v>1-3</v>
      </c>
      <c r="F154" s="57" t="str">
        <f>C154 &amp; "_"&amp; D154 &amp; "_" &amp; E154</f>
        <v>FALSE_FALSE_1-3</v>
      </c>
      <c r="G154" s="57">
        <f>IF(F154 = "FALSE_TRUE_1-3", 900,IF(F154="FALSE_TRUE_4+", 1100,IF(C154 = TRUE, 3000, 0)) )</f>
        <v>0</v>
      </c>
      <c r="H154" s="19"/>
      <c r="I154" s="318"/>
    </row>
    <row r="155" spans="1:34" hidden="1" x14ac:dyDescent="0.2">
      <c r="A155" s="355">
        <f>VLOOKUP(DailyCost,'Rate Bands'!B2:C32,2)</f>
        <v>11.91</v>
      </c>
      <c r="B155" s="69"/>
      <c r="H155" s="19"/>
      <c r="I155" s="318"/>
      <c r="J155" s="318"/>
    </row>
    <row r="156" spans="1:34" hidden="1" x14ac:dyDescent="0.2">
      <c r="A156" s="355">
        <f>DailyRate*TotalCapacity*365</f>
        <v>0</v>
      </c>
      <c r="B156" s="69"/>
      <c r="I156" s="318"/>
      <c r="J156" s="318"/>
    </row>
    <row r="157" spans="1:34" hidden="1" x14ac:dyDescent="0.2">
      <c r="A157" s="356" t="b">
        <v>1</v>
      </c>
      <c r="B157" s="69"/>
      <c r="I157" s="318"/>
      <c r="J157" s="318"/>
    </row>
    <row r="158" spans="1:34" hidden="1" x14ac:dyDescent="0.2">
      <c r="A158" s="357" t="b">
        <v>1</v>
      </c>
      <c r="B158" s="69"/>
      <c r="J158" s="318"/>
    </row>
    <row r="159" spans="1:34" hidden="1" x14ac:dyDescent="0.2">
      <c r="A159" s="357" t="b">
        <v>1</v>
      </c>
      <c r="B159" s="69"/>
      <c r="J159" s="318"/>
      <c r="M159" s="57" t="s">
        <v>642</v>
      </c>
    </row>
    <row r="160" spans="1:34" hidden="1" x14ac:dyDescent="0.2">
      <c r="A160" s="357" t="b">
        <v>1</v>
      </c>
      <c r="B160" s="69"/>
      <c r="J160" s="318"/>
    </row>
    <row r="161" spans="1:19" hidden="1" x14ac:dyDescent="0.2">
      <c r="A161" s="357" t="b">
        <v>1</v>
      </c>
      <c r="B161" s="69"/>
      <c r="J161" s="318"/>
    </row>
    <row r="162" spans="1:19" hidden="1" x14ac:dyDescent="0.2">
      <c r="A162" s="357" t="b">
        <v>0</v>
      </c>
      <c r="B162" s="69"/>
    </row>
    <row r="163" spans="1:19" hidden="1" x14ac:dyDescent="0.2">
      <c r="A163" s="357" t="b">
        <v>0</v>
      </c>
      <c r="B163" s="69"/>
    </row>
    <row r="164" spans="1:19" hidden="1" x14ac:dyDescent="0.2">
      <c r="A164" s="357" t="b">
        <v>0</v>
      </c>
      <c r="B164" s="69" t="s">
        <v>784</v>
      </c>
    </row>
    <row r="165" spans="1:19" hidden="1" x14ac:dyDescent="0.2">
      <c r="A165" s="357" t="b">
        <v>0</v>
      </c>
      <c r="B165" s="69" t="s">
        <v>762</v>
      </c>
    </row>
    <row r="166" spans="1:19" hidden="1" x14ac:dyDescent="0.2">
      <c r="A166" s="357" t="b">
        <v>0</v>
      </c>
      <c r="B166" s="69" t="s">
        <v>634</v>
      </c>
    </row>
    <row r="167" spans="1:19" s="318" customFormat="1" hidden="1" x14ac:dyDescent="0.2">
      <c r="A167" s="467" t="b">
        <f>(Lease+ CapitalLease) &gt;0</f>
        <v>0</v>
      </c>
      <c r="B167" s="320" t="s">
        <v>785</v>
      </c>
      <c r="N167" s="319"/>
      <c r="S167" s="422"/>
    </row>
    <row r="168" spans="1:19" hidden="1" x14ac:dyDescent="0.2">
      <c r="A168" s="357" t="b">
        <v>1</v>
      </c>
      <c r="B168" s="69"/>
      <c r="F168" s="57" t="b">
        <f>A168</f>
        <v>1</v>
      </c>
    </row>
    <row r="169" spans="1:19" hidden="1" x14ac:dyDescent="0.2">
      <c r="A169" s="357" t="b">
        <v>0</v>
      </c>
      <c r="B169" s="69"/>
    </row>
    <row r="170" spans="1:19" hidden="1" x14ac:dyDescent="0.2">
      <c r="A170" s="357" t="b">
        <v>0</v>
      </c>
      <c r="B170" s="69"/>
    </row>
    <row r="171" spans="1:19" hidden="1" x14ac:dyDescent="0.2">
      <c r="A171" s="357" t="b">
        <v>0</v>
      </c>
      <c r="B171" s="69"/>
    </row>
    <row r="172" spans="1:19" hidden="1" x14ac:dyDescent="0.2">
      <c r="A172" s="357" t="b">
        <v>0</v>
      </c>
      <c r="B172" s="69"/>
    </row>
    <row r="173" spans="1:19" hidden="1" x14ac:dyDescent="0.2">
      <c r="A173" s="357" t="b">
        <v>0</v>
      </c>
      <c r="B173" s="69"/>
    </row>
    <row r="174" spans="1:19" hidden="1" x14ac:dyDescent="0.2">
      <c r="A174" s="357" t="b">
        <v>1</v>
      </c>
      <c r="B174" s="69"/>
    </row>
    <row r="175" spans="1:19" hidden="1" x14ac:dyDescent="0.2">
      <c r="A175" s="357" t="b">
        <v>0</v>
      </c>
      <c r="B175" s="69"/>
    </row>
    <row r="176" spans="1:19" hidden="1" x14ac:dyDescent="0.2">
      <c r="A176" s="357" t="b">
        <v>0</v>
      </c>
      <c r="B176" s="69"/>
    </row>
    <row r="177" spans="1:19" hidden="1" x14ac:dyDescent="0.2">
      <c r="A177" s="354" t="b">
        <v>0</v>
      </c>
      <c r="B177" s="69" t="s">
        <v>787</v>
      </c>
    </row>
    <row r="178" spans="1:19" hidden="1" x14ac:dyDescent="0.2">
      <c r="A178" s="354" t="b">
        <v>0</v>
      </c>
      <c r="B178" s="69" t="s">
        <v>788</v>
      </c>
    </row>
    <row r="179" spans="1:19" hidden="1" x14ac:dyDescent="0.2">
      <c r="A179" s="354" t="b">
        <v>0</v>
      </c>
      <c r="B179" s="69" t="s">
        <v>789</v>
      </c>
    </row>
    <row r="180" spans="1:19" hidden="1" x14ac:dyDescent="0.2">
      <c r="A180" s="354" t="b">
        <v>0</v>
      </c>
      <c r="B180" s="69" t="s">
        <v>790</v>
      </c>
    </row>
    <row r="181" spans="1:19" hidden="1" x14ac:dyDescent="0.2">
      <c r="A181" s="354" t="b">
        <v>0</v>
      </c>
      <c r="B181" s="69"/>
    </row>
    <row r="182" spans="1:19" hidden="1" x14ac:dyDescent="0.2">
      <c r="A182" s="354">
        <f>IF((DDSRes + DDSABI + MCBRes + MRCRes = 1),   IF(DDSABI, ABIMonthlyCAP, IF(   ISERROR(VLOOKUP(RegionSelected,'Geographic Lookups &amp; Caps'!B3:C353,2)), 0,      IF(CAPExemption, VLOOKUP(RegionSelected,'Geographic Lookups &amp; Caps'!B3:D353,3), VLOOKUP(RegionSelected,'Geographic Lookups &amp; Caps'!B3:D353,2)    )   )  ), 0)</f>
        <v>0</v>
      </c>
      <c r="B182" s="69"/>
    </row>
    <row r="183" spans="1:19" s="318" customFormat="1" hidden="1" x14ac:dyDescent="0.2">
      <c r="A183" s="354"/>
      <c r="B183" s="320"/>
      <c r="N183" s="319"/>
      <c r="S183" s="422"/>
    </row>
    <row r="184" spans="1:19" hidden="1" x14ac:dyDescent="0.2">
      <c r="A184" s="354" t="b">
        <f>AND(RegionalCap &gt; 0,  RegionalCap &lt; PerPersonBeforeOfffsets)</f>
        <v>0</v>
      </c>
      <c r="B184" s="69"/>
    </row>
    <row r="185" spans="1:19" hidden="1" x14ac:dyDescent="0.2">
      <c r="A185" s="354" t="b">
        <f>SiteApprovalDate &gt;=  DATE(1990,7,1)</f>
        <v>0</v>
      </c>
      <c r="B185" s="69" t="s">
        <v>791</v>
      </c>
      <c r="D185" s="57" t="s">
        <v>801</v>
      </c>
    </row>
    <row r="186" spans="1:19" hidden="1" x14ac:dyDescent="0.2">
      <c r="A186" s="358" t="b">
        <f>AND(CapitalLease, SiteApprovalDate &gt;=  DATE(2018,7,1), CEDACAPPLIED)</f>
        <v>0</v>
      </c>
      <c r="B186" s="69" t="s">
        <v>803</v>
      </c>
    </row>
    <row r="187" spans="1:19" hidden="1" x14ac:dyDescent="0.2">
      <c r="A187" s="354">
        <f>IF((DDSRes+DDSABI+MCBRes+MRCRes=1),IF(DDSABI,ABIMonthlyCAP,IF(ISERROR(VLOOKUP(RegionSelected,'Geographic Lookups &amp; Caps'!B8:C358,2)),0,VLOOKUP(RegionSelected,'Geographic Lookups &amp; Caps'!B8:D358,2))),0)</f>
        <v>0</v>
      </c>
      <c r="B187" s="69"/>
    </row>
    <row r="188" spans="1:19" hidden="1" x14ac:dyDescent="0.2">
      <c r="A188" s="354">
        <f>IF((DDSRes+DDSABI+MCBRes+MRCRes=1),IF(DDSABI,ABIMonthlyCAP,IF(ISERROR(VLOOKUP(RegionSelected,'Geographic Lookups &amp; Caps'!B9:C359,2)),0,VLOOKUP(RegionSelected,'Geographic Lookups &amp; Caps'!B9:D359,3))),0)</f>
        <v>0</v>
      </c>
      <c r="B188" s="69"/>
    </row>
    <row r="189" spans="1:19" hidden="1" x14ac:dyDescent="0.2">
      <c r="A189" s="257" t="b">
        <f>(DDSRes + DDSABI + MCBRes + MRCRes &lt;&gt; 1)</f>
        <v>1</v>
      </c>
      <c r="B189" s="69" t="s">
        <v>783</v>
      </c>
    </row>
    <row r="190" spans="1:19" hidden="1" x14ac:dyDescent="0.2">
      <c r="A190" s="354"/>
      <c r="B190" s="69"/>
    </row>
    <row r="191" spans="1:19" x14ac:dyDescent="0.2">
      <c r="A191" s="257"/>
      <c r="B191" s="69"/>
    </row>
    <row r="192" spans="1:19" x14ac:dyDescent="0.2">
      <c r="A192" s="257"/>
      <c r="B192" s="69"/>
    </row>
    <row r="193" spans="1:2" x14ac:dyDescent="0.2">
      <c r="A193" s="257"/>
      <c r="B193" s="69"/>
    </row>
    <row r="194" spans="1:2" x14ac:dyDescent="0.2">
      <c r="A194" s="257"/>
      <c r="B194" s="69"/>
    </row>
    <row r="195" spans="1:2" x14ac:dyDescent="0.2">
      <c r="A195" s="257"/>
      <c r="B195" s="69"/>
    </row>
    <row r="196" spans="1:2" x14ac:dyDescent="0.2">
      <c r="A196" s="257"/>
      <c r="B196" s="69"/>
    </row>
    <row r="197" spans="1:2" x14ac:dyDescent="0.2">
      <c r="A197" s="257"/>
      <c r="B197" s="69"/>
    </row>
    <row r="198" spans="1:2" x14ac:dyDescent="0.2">
      <c r="A198" s="257"/>
      <c r="B198" s="69"/>
    </row>
    <row r="199" spans="1:2" x14ac:dyDescent="0.2">
      <c r="A199" s="257"/>
      <c r="B199" s="69"/>
    </row>
    <row r="200" spans="1:2" x14ac:dyDescent="0.2">
      <c r="A200" s="257"/>
      <c r="B200" s="69"/>
    </row>
    <row r="201" spans="1:2" x14ac:dyDescent="0.2">
      <c r="A201" s="257"/>
      <c r="B201" s="69"/>
    </row>
  </sheetData>
  <sheetProtection password="DBEC" sheet="1" objects="1" scenarios="1" selectLockedCells="1"/>
  <customSheetViews>
    <customSheetView guid="{FBB71ECB-BCC0-464A-AF19-7974BE7447AA}" topLeftCell="A26">
      <selection activeCell="P37" sqref="P37"/>
      <pageMargins left="0.7" right="0.7" top="0.75" bottom="0.75" header="0.3" footer="0.3"/>
      <pageSetup orientation="portrait" r:id="rId1"/>
    </customSheetView>
  </customSheetViews>
  <mergeCells count="91">
    <mergeCell ref="K3:L3"/>
    <mergeCell ref="L4:M4"/>
    <mergeCell ref="J54:J55"/>
    <mergeCell ref="G18:H19"/>
    <mergeCell ref="I58:I61"/>
    <mergeCell ref="J24:K25"/>
    <mergeCell ref="J26:K26"/>
    <mergeCell ref="H42:I42"/>
    <mergeCell ref="M23:M25"/>
    <mergeCell ref="L26:M26"/>
    <mergeCell ref="J45:K45"/>
    <mergeCell ref="K54:K55"/>
    <mergeCell ref="L54:L55"/>
    <mergeCell ref="L6:L7"/>
    <mergeCell ref="K48:M48"/>
    <mergeCell ref="K17:M17"/>
    <mergeCell ref="O56:P56"/>
    <mergeCell ref="I145:J145"/>
    <mergeCell ref="I146:J146"/>
    <mergeCell ref="H149:I150"/>
    <mergeCell ref="I140:J140"/>
    <mergeCell ref="I141:J141"/>
    <mergeCell ref="I142:J142"/>
    <mergeCell ref="I143:J143"/>
    <mergeCell ref="I144:J144"/>
    <mergeCell ref="I135:J135"/>
    <mergeCell ref="I136:J136"/>
    <mergeCell ref="I137:J137"/>
    <mergeCell ref="I138:J138"/>
    <mergeCell ref="I139:J139"/>
    <mergeCell ref="I130:J130"/>
    <mergeCell ref="I131:J131"/>
    <mergeCell ref="I132:J132"/>
    <mergeCell ref="I133:J133"/>
    <mergeCell ref="I134:J134"/>
    <mergeCell ref="C2:M2"/>
    <mergeCell ref="C43:G43"/>
    <mergeCell ref="H54:I55"/>
    <mergeCell ref="H43:I43"/>
    <mergeCell ref="D4:E4"/>
    <mergeCell ref="H38:I38"/>
    <mergeCell ref="H35:I35"/>
    <mergeCell ref="H36:I36"/>
    <mergeCell ref="H37:I37"/>
    <mergeCell ref="C36:G36"/>
    <mergeCell ref="C37:G37"/>
    <mergeCell ref="G32:J32"/>
    <mergeCell ref="I15:K15"/>
    <mergeCell ref="C1:M1"/>
    <mergeCell ref="C30:K30"/>
    <mergeCell ref="C28:M28"/>
    <mergeCell ref="K18:M18"/>
    <mergeCell ref="J7:K7"/>
    <mergeCell ref="E11:F11"/>
    <mergeCell ref="K13:M13"/>
    <mergeCell ref="E15:H15"/>
    <mergeCell ref="E17:H17"/>
    <mergeCell ref="K20:L20"/>
    <mergeCell ref="K21:L21"/>
    <mergeCell ref="E9:J9"/>
    <mergeCell ref="D15:D16"/>
    <mergeCell ref="H4:J4"/>
    <mergeCell ref="D7:F7"/>
    <mergeCell ref="H7:I7"/>
    <mergeCell ref="C57:F61"/>
    <mergeCell ref="M60:M61"/>
    <mergeCell ref="D69:F69"/>
    <mergeCell ref="D67:F67"/>
    <mergeCell ref="C64:M65"/>
    <mergeCell ref="J67:K67"/>
    <mergeCell ref="J69:K69"/>
    <mergeCell ref="J62:L62"/>
    <mergeCell ref="J60:J61"/>
    <mergeCell ref="K60:L61"/>
    <mergeCell ref="J70:K70"/>
    <mergeCell ref="J68:K68"/>
    <mergeCell ref="K58:L58"/>
    <mergeCell ref="K59:L59"/>
    <mergeCell ref="J58:J59"/>
    <mergeCell ref="C42:G42"/>
    <mergeCell ref="G33:J33"/>
    <mergeCell ref="J8:K8"/>
    <mergeCell ref="L8:L12"/>
    <mergeCell ref="C38:G38"/>
    <mergeCell ref="C39:G39"/>
    <mergeCell ref="C40:G40"/>
    <mergeCell ref="C41:G41"/>
    <mergeCell ref="E10:F10"/>
    <mergeCell ref="H39:I39"/>
    <mergeCell ref="H40:I40"/>
    <mergeCell ref="H41:I41"/>
  </mergeCells>
  <conditionalFormatting sqref="J17">
    <cfRule type="cellIs" dxfId="19" priority="32" operator="equal">
      <formula>"""Status of acquisition:"""</formula>
    </cfRule>
  </conditionalFormatting>
  <conditionalFormatting sqref="M20">
    <cfRule type="expression" dxfId="18" priority="24">
      <formula>Purchase = TRUE</formula>
    </cfRule>
  </conditionalFormatting>
  <conditionalFormatting sqref="K20:L20">
    <cfRule type="expression" dxfId="17" priority="1">
      <formula>AND(K20 &lt;&gt; "(not leased)",K20&lt;&gt;"Monthly Lease Amount:", K20&lt;&gt;"Monthly Capitol Lease Amount:")</formula>
    </cfRule>
  </conditionalFormatting>
  <conditionalFormatting sqref="M60">
    <cfRule type="cellIs" dxfId="16" priority="7" operator="equal">
      <formula>0</formula>
    </cfRule>
    <cfRule type="expression" dxfId="15" priority="22">
      <formula>ISNUMBER($M$62)</formula>
    </cfRule>
  </conditionalFormatting>
  <conditionalFormatting sqref="L27">
    <cfRule type="expression" dxfId="14" priority="21">
      <formula>CEDACAPPLIED = TRUE</formula>
    </cfRule>
  </conditionalFormatting>
  <conditionalFormatting sqref="K59:L59">
    <cfRule type="expression" dxfId="13" priority="17">
      <formula>LEN(ActiveCap) &lt; 1</formula>
    </cfRule>
  </conditionalFormatting>
  <conditionalFormatting sqref="M59">
    <cfRule type="expression" dxfId="12" priority="9">
      <formula>LEN(ActiveCap) &lt; 1</formula>
    </cfRule>
  </conditionalFormatting>
  <conditionalFormatting sqref="O61:O62">
    <cfRule type="cellIs" dxfId="11" priority="14" operator="equal">
      <formula>0</formula>
    </cfRule>
  </conditionalFormatting>
  <conditionalFormatting sqref="M58">
    <cfRule type="expression" dxfId="10" priority="8" stopIfTrue="1">
      <formula>CapException</formula>
    </cfRule>
    <cfRule type="expression" dxfId="9" priority="10">
      <formula>IF(ISNUMBER(ActiveCap),LEN(TRIM(ActiveCap)) &gt;= 1)</formula>
    </cfRule>
    <cfRule type="cellIs" dxfId="8" priority="11" operator="equal">
      <formula>0</formula>
    </cfRule>
  </conditionalFormatting>
  <conditionalFormatting sqref="K48">
    <cfRule type="expression" dxfId="7" priority="5">
      <formula>$A$189</formula>
    </cfRule>
  </conditionalFormatting>
  <conditionalFormatting sqref="AB48">
    <cfRule type="expression" dxfId="6" priority="4">
      <formula>"(DDSRes + DDSABI + MCBRes + MRCRes &lt;&gt; 1)"</formula>
    </cfRule>
  </conditionalFormatting>
  <conditionalFormatting sqref="G18:H27">
    <cfRule type="expression" dxfId="5" priority="3">
      <formula>LeaseORCapitalLease</formula>
    </cfRule>
  </conditionalFormatting>
  <conditionalFormatting sqref="C19:D26">
    <cfRule type="expression" dxfId="4" priority="2">
      <formula>LeaseORCapitalLease</formula>
    </cfRule>
  </conditionalFormatting>
  <dataValidations xWindow="929" yWindow="819" count="6">
    <dataValidation allowBlank="1" showInputMessage="1" showErrorMessage="1" prompt="Utilities Expense Caps  _x000a_purchase, lease, or capital lease_x000a__x000a_Capacity 1-3    $6,000  _x000a_Capacity 4 +  $10,000_x000a__x000a_Estimates in excess of the caps will automatically be reduced." sqref="J49"/>
    <dataValidation allowBlank="1" showInputMessage="1" showErrorMessage="1" prompt="Property &amp; Casualty Ins. Expense Caps_x000a__x000a_Lease:_x000a_1-3 BR capacity          $900 _x000a_4 + BR capacity       $1,100_x000a__x000a_Purchase or Capital Lease:_x000a_Any Capacity           $3,000_x000a__x000a_Estimates in excess of the caps will automatically be reduced." sqref="J51"/>
    <dataValidation type="list" allowBlank="1" showInputMessage="1" showErrorMessage="1" sqref="E11">
      <formula1>SiteType</formula1>
    </dataValidation>
    <dataValidation allowBlank="1" showInputMessage="1" showErrorMessage="1" prompt="Maintenance Expense Caps_x000a__x000a_Bldgs with 5 or more units   $5,000_x000a_Bldgs with 1-4  units           $12,000_x000a__x000a_Estimates in excess of the caps will automatically be reduced." sqref="J50"/>
    <dataValidation allowBlank="1" showInputMessage="1" showErrorMessage="1" prompt="Non-Capital Expense Caps _x000a__x000a_Capacity 1-3     $600_x000a_Capacity 4+      $800_x000a__x000a_Estimates in excess of the caps will automatically be reduced." sqref="J52"/>
    <dataValidation allowBlank="1" showInputMessage="1" showErrorMessage="1" prompt="Food Expense Cap _x000a__x000a_$8.16 per resident per day. _x000a__x000a_Estimates in excess of the cap will automatically be reduced." sqref="J53"/>
  </dataValidations>
  <hyperlinks>
    <hyperlink ref="L15" r:id="rId2" display="808 CMR 1.04 (8)"/>
  </hyperlinks>
  <pageMargins left="0.25" right="0.25" top="0.3" bottom="0.3" header="0" footer="0.25"/>
  <pageSetup scale="59" orientation="portrait" r:id="rId3"/>
  <headerFooter scaleWithDoc="0">
    <oddFooter>&amp;L&amp;8&amp;F&amp;R&amp;8Printed on  &amp;D</oddFooter>
  </headerFooter>
  <ignoredErrors>
    <ignoredError sqref="O39" unlocked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3088" r:id="rId6" name="Check Box 16">
              <controlPr locked="0" defaultSize="0" autoFill="0" autoLine="0" autoPict="0">
                <anchor moveWithCells="1">
                  <from>
                    <xdr:col>12</xdr:col>
                    <xdr:colOff>9525</xdr:colOff>
                    <xdr:row>5</xdr:row>
                    <xdr:rowOff>19050</xdr:rowOff>
                  </from>
                  <to>
                    <xdr:col>12</xdr:col>
                    <xdr:colOff>1038225</xdr:colOff>
                    <xdr:row>6</xdr:row>
                    <xdr:rowOff>19050</xdr:rowOff>
                  </to>
                </anchor>
              </controlPr>
            </control>
          </mc:Choice>
        </mc:AlternateContent>
        <mc:AlternateContent xmlns:mc="http://schemas.openxmlformats.org/markup-compatibility/2006">
          <mc:Choice Requires="x14">
            <control shapeId="3090" r:id="rId7" name="Check Box 18">
              <controlPr locked="0" defaultSize="0" autoFill="0" autoLine="0" autoPict="0">
                <anchor moveWithCells="1">
                  <from>
                    <xdr:col>12</xdr:col>
                    <xdr:colOff>9525</xdr:colOff>
                    <xdr:row>6</xdr:row>
                    <xdr:rowOff>209550</xdr:rowOff>
                  </from>
                  <to>
                    <xdr:col>12</xdr:col>
                    <xdr:colOff>1038225</xdr:colOff>
                    <xdr:row>7</xdr:row>
                    <xdr:rowOff>114300</xdr:rowOff>
                  </to>
                </anchor>
              </controlPr>
            </control>
          </mc:Choice>
        </mc:AlternateContent>
        <mc:AlternateContent xmlns:mc="http://schemas.openxmlformats.org/markup-compatibility/2006">
          <mc:Choice Requires="x14">
            <control shapeId="3096" r:id="rId8" name="Check Box 24">
              <controlPr defaultSize="0" autoFill="0" autoLine="0" autoPict="0">
                <anchor moveWithCells="1">
                  <from>
                    <xdr:col>5</xdr:col>
                    <xdr:colOff>933450</xdr:colOff>
                    <xdr:row>16</xdr:row>
                    <xdr:rowOff>28575</xdr:rowOff>
                  </from>
                  <to>
                    <xdr:col>7</xdr:col>
                    <xdr:colOff>685800</xdr:colOff>
                    <xdr:row>16</xdr:row>
                    <xdr:rowOff>228600</xdr:rowOff>
                  </to>
                </anchor>
              </controlPr>
            </control>
          </mc:Choice>
        </mc:AlternateContent>
        <mc:AlternateContent xmlns:mc="http://schemas.openxmlformats.org/markup-compatibility/2006">
          <mc:Choice Requires="x14">
            <control shapeId="3097" r:id="rId9" name="Check Box 25">
              <controlPr defaultSize="0" autoFill="0" autoLine="0" autoPict="0">
                <anchor moveWithCells="1">
                  <from>
                    <xdr:col>4</xdr:col>
                    <xdr:colOff>123825</xdr:colOff>
                    <xdr:row>16</xdr:row>
                    <xdr:rowOff>57150</xdr:rowOff>
                  </from>
                  <to>
                    <xdr:col>6</xdr:col>
                    <xdr:colOff>9525</xdr:colOff>
                    <xdr:row>16</xdr:row>
                    <xdr:rowOff>200025</xdr:rowOff>
                  </to>
                </anchor>
              </controlPr>
            </control>
          </mc:Choice>
        </mc:AlternateContent>
        <mc:AlternateContent xmlns:mc="http://schemas.openxmlformats.org/markup-compatibility/2006">
          <mc:Choice Requires="x14">
            <control shapeId="3098" r:id="rId10" name="Check Box 26">
              <controlPr defaultSize="0" autoFill="0" autoLine="0" autoPict="0">
                <anchor moveWithCells="1">
                  <from>
                    <xdr:col>12</xdr:col>
                    <xdr:colOff>57150</xdr:colOff>
                    <xdr:row>14</xdr:row>
                    <xdr:rowOff>66675</xdr:rowOff>
                  </from>
                  <to>
                    <xdr:col>12</xdr:col>
                    <xdr:colOff>457200</xdr:colOff>
                    <xdr:row>14</xdr:row>
                    <xdr:rowOff>209550</xdr:rowOff>
                  </to>
                </anchor>
              </controlPr>
            </control>
          </mc:Choice>
        </mc:AlternateContent>
        <mc:AlternateContent xmlns:mc="http://schemas.openxmlformats.org/markup-compatibility/2006">
          <mc:Choice Requires="x14">
            <control shapeId="3099" r:id="rId11" name="Check Box 27">
              <controlPr defaultSize="0" autoFill="0" autoLine="0" autoPict="0">
                <anchor moveWithCells="1">
                  <from>
                    <xdr:col>12</xdr:col>
                    <xdr:colOff>552450</xdr:colOff>
                    <xdr:row>14</xdr:row>
                    <xdr:rowOff>47625</xdr:rowOff>
                  </from>
                  <to>
                    <xdr:col>12</xdr:col>
                    <xdr:colOff>1038225</xdr:colOff>
                    <xdr:row>14</xdr:row>
                    <xdr:rowOff>228600</xdr:rowOff>
                  </to>
                </anchor>
              </controlPr>
            </control>
          </mc:Choice>
        </mc:AlternateContent>
        <mc:AlternateContent xmlns:mc="http://schemas.openxmlformats.org/markup-compatibility/2006">
          <mc:Choice Requires="x14">
            <control shapeId="3116" r:id="rId12" name="Check Box 44">
              <controlPr locked="0" defaultSize="0" autoFill="0" autoLine="0" autoPict="0">
                <anchor moveWithCells="1">
                  <from>
                    <xdr:col>12</xdr:col>
                    <xdr:colOff>9525</xdr:colOff>
                    <xdr:row>8</xdr:row>
                    <xdr:rowOff>0</xdr:rowOff>
                  </from>
                  <to>
                    <xdr:col>12</xdr:col>
                    <xdr:colOff>1038225</xdr:colOff>
                    <xdr:row>8</xdr:row>
                    <xdr:rowOff>142875</xdr:rowOff>
                  </to>
                </anchor>
              </controlPr>
            </control>
          </mc:Choice>
        </mc:AlternateContent>
        <mc:AlternateContent xmlns:mc="http://schemas.openxmlformats.org/markup-compatibility/2006">
          <mc:Choice Requires="x14">
            <control shapeId="3119" r:id="rId13" name="Check Box 47">
              <controlPr defaultSize="0" autoFill="0" autoLine="0" autoPict="0">
                <anchor moveWithCells="1">
                  <from>
                    <xdr:col>10</xdr:col>
                    <xdr:colOff>76200</xdr:colOff>
                    <xdr:row>16</xdr:row>
                    <xdr:rowOff>9525</xdr:rowOff>
                  </from>
                  <to>
                    <xdr:col>10</xdr:col>
                    <xdr:colOff>1104900</xdr:colOff>
                    <xdr:row>17</xdr:row>
                    <xdr:rowOff>0</xdr:rowOff>
                  </to>
                </anchor>
              </controlPr>
            </control>
          </mc:Choice>
        </mc:AlternateContent>
        <mc:AlternateContent xmlns:mc="http://schemas.openxmlformats.org/markup-compatibility/2006">
          <mc:Choice Requires="x14">
            <control shapeId="3120" r:id="rId14" name="Check Box 48">
              <controlPr defaultSize="0" autoFill="0" autoLine="0" autoPict="0">
                <anchor moveWithCells="1">
                  <from>
                    <xdr:col>11</xdr:col>
                    <xdr:colOff>447675</xdr:colOff>
                    <xdr:row>16</xdr:row>
                    <xdr:rowOff>9525</xdr:rowOff>
                  </from>
                  <to>
                    <xdr:col>12</xdr:col>
                    <xdr:colOff>438150</xdr:colOff>
                    <xdr:row>17</xdr:row>
                    <xdr:rowOff>0</xdr:rowOff>
                  </to>
                </anchor>
              </controlPr>
            </control>
          </mc:Choice>
        </mc:AlternateContent>
        <mc:AlternateContent xmlns:mc="http://schemas.openxmlformats.org/markup-compatibility/2006">
          <mc:Choice Requires="x14">
            <control shapeId="3121" r:id="rId15" name="Check Box 49">
              <controlPr locked="0" defaultSize="0" autoFill="0" autoLine="0" autoPict="0">
                <anchor moveWithCells="1">
                  <from>
                    <xdr:col>4</xdr:col>
                    <xdr:colOff>238125</xdr:colOff>
                    <xdr:row>14</xdr:row>
                    <xdr:rowOff>19050</xdr:rowOff>
                  </from>
                  <to>
                    <xdr:col>5</xdr:col>
                    <xdr:colOff>742950</xdr:colOff>
                    <xdr:row>14</xdr:row>
                    <xdr:rowOff>257175</xdr:rowOff>
                  </to>
                </anchor>
              </controlPr>
            </control>
          </mc:Choice>
        </mc:AlternateContent>
        <mc:AlternateContent xmlns:mc="http://schemas.openxmlformats.org/markup-compatibility/2006">
          <mc:Choice Requires="x14">
            <control shapeId="3122" r:id="rId16" name="Check Box 50">
              <controlPr locked="0" defaultSize="0" autoFill="0" autoLine="0" autoPict="0">
                <anchor moveWithCells="1">
                  <from>
                    <xdr:col>5</xdr:col>
                    <xdr:colOff>876300</xdr:colOff>
                    <xdr:row>14</xdr:row>
                    <xdr:rowOff>19050</xdr:rowOff>
                  </from>
                  <to>
                    <xdr:col>6</xdr:col>
                    <xdr:colOff>790575</xdr:colOff>
                    <xdr:row>14</xdr:row>
                    <xdr:rowOff>257175</xdr:rowOff>
                  </to>
                </anchor>
              </controlPr>
            </control>
          </mc:Choice>
        </mc:AlternateContent>
        <mc:AlternateContent xmlns:mc="http://schemas.openxmlformats.org/markup-compatibility/2006">
          <mc:Choice Requires="x14">
            <control shapeId="3123" r:id="rId17" name="Check Box 51">
              <controlPr locked="0" defaultSize="0" autoFill="0" autoLine="0" autoPict="0">
                <anchor moveWithCells="1">
                  <from>
                    <xdr:col>6</xdr:col>
                    <xdr:colOff>942975</xdr:colOff>
                    <xdr:row>14</xdr:row>
                    <xdr:rowOff>19050</xdr:rowOff>
                  </from>
                  <to>
                    <xdr:col>7</xdr:col>
                    <xdr:colOff>523875</xdr:colOff>
                    <xdr:row>14</xdr:row>
                    <xdr:rowOff>257175</xdr:rowOff>
                  </to>
                </anchor>
              </controlPr>
            </control>
          </mc:Choice>
        </mc:AlternateContent>
        <mc:AlternateContent xmlns:mc="http://schemas.openxmlformats.org/markup-compatibility/2006">
          <mc:Choice Requires="x14">
            <control shapeId="3125" r:id="rId18" name="Check Box 53">
              <controlPr locked="0" defaultSize="0" autoFill="0" autoLine="0" autoPict="0">
                <anchor moveWithCells="1">
                  <from>
                    <xdr:col>12</xdr:col>
                    <xdr:colOff>9525</xdr:colOff>
                    <xdr:row>6</xdr:row>
                    <xdr:rowOff>47625</xdr:rowOff>
                  </from>
                  <to>
                    <xdr:col>12</xdr:col>
                    <xdr:colOff>1038225</xdr:colOff>
                    <xdr:row>6</xdr:row>
                    <xdr:rowOff>180975</xdr:rowOff>
                  </to>
                </anchor>
              </controlPr>
            </control>
          </mc:Choice>
        </mc:AlternateContent>
        <mc:AlternateContent xmlns:mc="http://schemas.openxmlformats.org/markup-compatibility/2006">
          <mc:Choice Requires="x14">
            <control shapeId="3128" r:id="rId19" name="Check Box 56">
              <controlPr locked="0" defaultSize="0" autoFill="0" autoLine="0" autoPict="0">
                <anchor moveWithCells="1">
                  <from>
                    <xdr:col>11</xdr:col>
                    <xdr:colOff>9525</xdr:colOff>
                    <xdr:row>25</xdr:row>
                    <xdr:rowOff>47625</xdr:rowOff>
                  </from>
                  <to>
                    <xdr:col>12</xdr:col>
                    <xdr:colOff>1143000</xdr:colOff>
                    <xdr:row>25</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929" yWindow="819" count="3">
        <x14:dataValidation type="list" errorStyle="information" allowBlank="1" showDropDown="1" showInputMessage="1" showErrorMessage="1" errorTitle="Not an official MA Municipality" error="Please enter one of the 351 official cities in Massachusetts from the &quot;Geographic Lookups&quot; tab, or enter any town from another state.  Remember, some towns like Dorchester and Hyannis are communities within official towns.">
          <x14:formula1>
            <xm:f>'Geographic Lookups &amp; Caps'!$A$3:$A$353</xm:f>
          </x14:formula1>
          <xm:sqref>E10:F10</xm:sqref>
        </x14:dataValidation>
        <x14:dataValidation type="list" showErrorMessage="1" errorTitle="Incorrrect State" error="Please select from the list of states.">
          <x14:formula1>
            <xm:f>'Geographic Lookups &amp; Caps'!$F$3:$F$58</xm:f>
          </x14:formula1>
          <xm:sqref>H10</xm:sqref>
        </x14:dataValidation>
        <x14:dataValidation type="list" errorStyle="warning" showErrorMessage="1" errorTitle="EnterOffice from List" error="Please enter an area office from the list.  Alternative offices are listed programs contracted to other agencies or offices.">
          <x14:formula1>
            <xm:f>'Geographic Lookups &amp; Caps'!$H$3:$H$33</xm:f>
          </x14:formula1>
          <xm:sqref>L4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35"/>
  <sheetViews>
    <sheetView workbookViewId="0">
      <selection activeCell="T18" sqref="T18"/>
    </sheetView>
  </sheetViews>
  <sheetFormatPr defaultRowHeight="15" x14ac:dyDescent="0.25"/>
  <cols>
    <col min="1" max="1" width="4" style="317" customWidth="1"/>
    <col min="2" max="2" width="8.5703125" style="317" customWidth="1"/>
    <col min="3" max="3" width="10.7109375" style="317" customWidth="1"/>
    <col min="4" max="4" width="7.28515625" style="317" customWidth="1"/>
    <col min="5" max="5" width="9.7109375" style="317" bestFit="1" customWidth="1"/>
    <col min="6" max="6" width="9.85546875" style="317" customWidth="1"/>
    <col min="7" max="7" width="9.85546875" style="317" bestFit="1" customWidth="1"/>
    <col min="8" max="8" width="9.140625" style="317"/>
    <col min="9" max="9" width="10.42578125" style="317" customWidth="1"/>
    <col min="10" max="10" width="10.85546875" style="317" customWidth="1"/>
    <col min="11" max="244" width="9.140625" style="317"/>
    <col min="245" max="245" width="4" style="317" customWidth="1"/>
    <col min="246" max="246" width="7.140625" style="317" customWidth="1"/>
    <col min="247" max="247" width="9.140625" style="317" customWidth="1"/>
    <col min="248" max="248" width="5.5703125" style="317" customWidth="1"/>
    <col min="249" max="249" width="9.7109375" style="317" bestFit="1" customWidth="1"/>
    <col min="250" max="500" width="9.140625" style="317"/>
    <col min="501" max="501" width="4" style="317" customWidth="1"/>
    <col min="502" max="502" width="7.140625" style="317" customWidth="1"/>
    <col min="503" max="503" width="9.140625" style="317" customWidth="1"/>
    <col min="504" max="504" width="5.5703125" style="317" customWidth="1"/>
    <col min="505" max="505" width="9.7109375" style="317" bestFit="1" customWidth="1"/>
    <col min="506" max="756" width="9.140625" style="317"/>
    <col min="757" max="757" width="4" style="317" customWidth="1"/>
    <col min="758" max="758" width="7.140625" style="317" customWidth="1"/>
    <col min="759" max="759" width="9.140625" style="317" customWidth="1"/>
    <col min="760" max="760" width="5.5703125" style="317" customWidth="1"/>
    <col min="761" max="761" width="9.7109375" style="317" bestFit="1" customWidth="1"/>
    <col min="762" max="1012" width="9.140625" style="317"/>
    <col min="1013" max="1013" width="4" style="317" customWidth="1"/>
    <col min="1014" max="1014" width="7.140625" style="317" customWidth="1"/>
    <col min="1015" max="1015" width="9.140625" style="317" customWidth="1"/>
    <col min="1016" max="1016" width="5.5703125" style="317" customWidth="1"/>
    <col min="1017" max="1017" width="9.7109375" style="317" bestFit="1" customWidth="1"/>
    <col min="1018" max="1268" width="9.140625" style="317"/>
    <col min="1269" max="1269" width="4" style="317" customWidth="1"/>
    <col min="1270" max="1270" width="7.140625" style="317" customWidth="1"/>
    <col min="1271" max="1271" width="9.140625" style="317" customWidth="1"/>
    <col min="1272" max="1272" width="5.5703125" style="317" customWidth="1"/>
    <col min="1273" max="1273" width="9.7109375" style="317" bestFit="1" customWidth="1"/>
    <col min="1274" max="1524" width="9.140625" style="317"/>
    <col min="1525" max="1525" width="4" style="317" customWidth="1"/>
    <col min="1526" max="1526" width="7.140625" style="317" customWidth="1"/>
    <col min="1527" max="1527" width="9.140625" style="317" customWidth="1"/>
    <col min="1528" max="1528" width="5.5703125" style="317" customWidth="1"/>
    <col min="1529" max="1529" width="9.7109375" style="317" bestFit="1" customWidth="1"/>
    <col min="1530" max="1780" width="9.140625" style="317"/>
    <col min="1781" max="1781" width="4" style="317" customWidth="1"/>
    <col min="1782" max="1782" width="7.140625" style="317" customWidth="1"/>
    <col min="1783" max="1783" width="9.140625" style="317" customWidth="1"/>
    <col min="1784" max="1784" width="5.5703125" style="317" customWidth="1"/>
    <col min="1785" max="1785" width="9.7109375" style="317" bestFit="1" customWidth="1"/>
    <col min="1786" max="2036" width="9.140625" style="317"/>
    <col min="2037" max="2037" width="4" style="317" customWidth="1"/>
    <col min="2038" max="2038" width="7.140625" style="317" customWidth="1"/>
    <col min="2039" max="2039" width="9.140625" style="317" customWidth="1"/>
    <col min="2040" max="2040" width="5.5703125" style="317" customWidth="1"/>
    <col min="2041" max="2041" width="9.7109375" style="317" bestFit="1" customWidth="1"/>
    <col min="2042" max="2292" width="9.140625" style="317"/>
    <col min="2293" max="2293" width="4" style="317" customWidth="1"/>
    <col min="2294" max="2294" width="7.140625" style="317" customWidth="1"/>
    <col min="2295" max="2295" width="9.140625" style="317" customWidth="1"/>
    <col min="2296" max="2296" width="5.5703125" style="317" customWidth="1"/>
    <col min="2297" max="2297" width="9.7109375" style="317" bestFit="1" customWidth="1"/>
    <col min="2298" max="2548" width="9.140625" style="317"/>
    <col min="2549" max="2549" width="4" style="317" customWidth="1"/>
    <col min="2550" max="2550" width="7.140625" style="317" customWidth="1"/>
    <col min="2551" max="2551" width="9.140625" style="317" customWidth="1"/>
    <col min="2552" max="2552" width="5.5703125" style="317" customWidth="1"/>
    <col min="2553" max="2553" width="9.7109375" style="317" bestFit="1" customWidth="1"/>
    <col min="2554" max="2804" width="9.140625" style="317"/>
    <col min="2805" max="2805" width="4" style="317" customWidth="1"/>
    <col min="2806" max="2806" width="7.140625" style="317" customWidth="1"/>
    <col min="2807" max="2807" width="9.140625" style="317" customWidth="1"/>
    <col min="2808" max="2808" width="5.5703125" style="317" customWidth="1"/>
    <col min="2809" max="2809" width="9.7109375" style="317" bestFit="1" customWidth="1"/>
    <col min="2810" max="3060" width="9.140625" style="317"/>
    <col min="3061" max="3061" width="4" style="317" customWidth="1"/>
    <col min="3062" max="3062" width="7.140625" style="317" customWidth="1"/>
    <col min="3063" max="3063" width="9.140625" style="317" customWidth="1"/>
    <col min="3064" max="3064" width="5.5703125" style="317" customWidth="1"/>
    <col min="3065" max="3065" width="9.7109375" style="317" bestFit="1" customWidth="1"/>
    <col min="3066" max="3316" width="9.140625" style="317"/>
    <col min="3317" max="3317" width="4" style="317" customWidth="1"/>
    <col min="3318" max="3318" width="7.140625" style="317" customWidth="1"/>
    <col min="3319" max="3319" width="9.140625" style="317" customWidth="1"/>
    <col min="3320" max="3320" width="5.5703125" style="317" customWidth="1"/>
    <col min="3321" max="3321" width="9.7109375" style="317" bestFit="1" customWidth="1"/>
    <col min="3322" max="3572" width="9.140625" style="317"/>
    <col min="3573" max="3573" width="4" style="317" customWidth="1"/>
    <col min="3574" max="3574" width="7.140625" style="317" customWidth="1"/>
    <col min="3575" max="3575" width="9.140625" style="317" customWidth="1"/>
    <col min="3576" max="3576" width="5.5703125" style="317" customWidth="1"/>
    <col min="3577" max="3577" width="9.7109375" style="317" bestFit="1" customWidth="1"/>
    <col min="3578" max="3828" width="9.140625" style="317"/>
    <col min="3829" max="3829" width="4" style="317" customWidth="1"/>
    <col min="3830" max="3830" width="7.140625" style="317" customWidth="1"/>
    <col min="3831" max="3831" width="9.140625" style="317" customWidth="1"/>
    <col min="3832" max="3832" width="5.5703125" style="317" customWidth="1"/>
    <col min="3833" max="3833" width="9.7109375" style="317" bestFit="1" customWidth="1"/>
    <col min="3834" max="4084" width="9.140625" style="317"/>
    <col min="4085" max="4085" width="4" style="317" customWidth="1"/>
    <col min="4086" max="4086" width="7.140625" style="317" customWidth="1"/>
    <col min="4087" max="4087" width="9.140625" style="317" customWidth="1"/>
    <col min="4088" max="4088" width="5.5703125" style="317" customWidth="1"/>
    <col min="4089" max="4089" width="9.7109375" style="317" bestFit="1" customWidth="1"/>
    <col min="4090" max="4340" width="9.140625" style="317"/>
    <col min="4341" max="4341" width="4" style="317" customWidth="1"/>
    <col min="4342" max="4342" width="7.140625" style="317" customWidth="1"/>
    <col min="4343" max="4343" width="9.140625" style="317" customWidth="1"/>
    <col min="4344" max="4344" width="5.5703125" style="317" customWidth="1"/>
    <col min="4345" max="4345" width="9.7109375" style="317" bestFit="1" customWidth="1"/>
    <col min="4346" max="4596" width="9.140625" style="317"/>
    <col min="4597" max="4597" width="4" style="317" customWidth="1"/>
    <col min="4598" max="4598" width="7.140625" style="317" customWidth="1"/>
    <col min="4599" max="4599" width="9.140625" style="317" customWidth="1"/>
    <col min="4600" max="4600" width="5.5703125" style="317" customWidth="1"/>
    <col min="4601" max="4601" width="9.7109375" style="317" bestFit="1" customWidth="1"/>
    <col min="4602" max="4852" width="9.140625" style="317"/>
    <col min="4853" max="4853" width="4" style="317" customWidth="1"/>
    <col min="4854" max="4854" width="7.140625" style="317" customWidth="1"/>
    <col min="4855" max="4855" width="9.140625" style="317" customWidth="1"/>
    <col min="4856" max="4856" width="5.5703125" style="317" customWidth="1"/>
    <col min="4857" max="4857" width="9.7109375" style="317" bestFit="1" customWidth="1"/>
    <col min="4858" max="5108" width="9.140625" style="317"/>
    <col min="5109" max="5109" width="4" style="317" customWidth="1"/>
    <col min="5110" max="5110" width="7.140625" style="317" customWidth="1"/>
    <col min="5111" max="5111" width="9.140625" style="317" customWidth="1"/>
    <col min="5112" max="5112" width="5.5703125" style="317" customWidth="1"/>
    <col min="5113" max="5113" width="9.7109375" style="317" bestFit="1" customWidth="1"/>
    <col min="5114" max="5364" width="9.140625" style="317"/>
    <col min="5365" max="5365" width="4" style="317" customWidth="1"/>
    <col min="5366" max="5366" width="7.140625" style="317" customWidth="1"/>
    <col min="5367" max="5367" width="9.140625" style="317" customWidth="1"/>
    <col min="5368" max="5368" width="5.5703125" style="317" customWidth="1"/>
    <col min="5369" max="5369" width="9.7109375" style="317" bestFit="1" customWidth="1"/>
    <col min="5370" max="5620" width="9.140625" style="317"/>
    <col min="5621" max="5621" width="4" style="317" customWidth="1"/>
    <col min="5622" max="5622" width="7.140625" style="317" customWidth="1"/>
    <col min="5623" max="5623" width="9.140625" style="317" customWidth="1"/>
    <col min="5624" max="5624" width="5.5703125" style="317" customWidth="1"/>
    <col min="5625" max="5625" width="9.7109375" style="317" bestFit="1" customWidth="1"/>
    <col min="5626" max="5876" width="9.140625" style="317"/>
    <col min="5877" max="5877" width="4" style="317" customWidth="1"/>
    <col min="5878" max="5878" width="7.140625" style="317" customWidth="1"/>
    <col min="5879" max="5879" width="9.140625" style="317" customWidth="1"/>
    <col min="5880" max="5880" width="5.5703125" style="317" customWidth="1"/>
    <col min="5881" max="5881" width="9.7109375" style="317" bestFit="1" customWidth="1"/>
    <col min="5882" max="6132" width="9.140625" style="317"/>
    <col min="6133" max="6133" width="4" style="317" customWidth="1"/>
    <col min="6134" max="6134" width="7.140625" style="317" customWidth="1"/>
    <col min="6135" max="6135" width="9.140625" style="317" customWidth="1"/>
    <col min="6136" max="6136" width="5.5703125" style="317" customWidth="1"/>
    <col min="6137" max="6137" width="9.7109375" style="317" bestFit="1" customWidth="1"/>
    <col min="6138" max="6388" width="9.140625" style="317"/>
    <col min="6389" max="6389" width="4" style="317" customWidth="1"/>
    <col min="6390" max="6390" width="7.140625" style="317" customWidth="1"/>
    <col min="6391" max="6391" width="9.140625" style="317" customWidth="1"/>
    <col min="6392" max="6392" width="5.5703125" style="317" customWidth="1"/>
    <col min="6393" max="6393" width="9.7109375" style="317" bestFit="1" customWidth="1"/>
    <col min="6394" max="6644" width="9.140625" style="317"/>
    <col min="6645" max="6645" width="4" style="317" customWidth="1"/>
    <col min="6646" max="6646" width="7.140625" style="317" customWidth="1"/>
    <col min="6647" max="6647" width="9.140625" style="317" customWidth="1"/>
    <col min="6648" max="6648" width="5.5703125" style="317" customWidth="1"/>
    <col min="6649" max="6649" width="9.7109375" style="317" bestFit="1" customWidth="1"/>
    <col min="6650" max="6900" width="9.140625" style="317"/>
    <col min="6901" max="6901" width="4" style="317" customWidth="1"/>
    <col min="6902" max="6902" width="7.140625" style="317" customWidth="1"/>
    <col min="6903" max="6903" width="9.140625" style="317" customWidth="1"/>
    <col min="6904" max="6904" width="5.5703125" style="317" customWidth="1"/>
    <col min="6905" max="6905" width="9.7109375" style="317" bestFit="1" customWidth="1"/>
    <col min="6906" max="7156" width="9.140625" style="317"/>
    <col min="7157" max="7157" width="4" style="317" customWidth="1"/>
    <col min="7158" max="7158" width="7.140625" style="317" customWidth="1"/>
    <col min="7159" max="7159" width="9.140625" style="317" customWidth="1"/>
    <col min="7160" max="7160" width="5.5703125" style="317" customWidth="1"/>
    <col min="7161" max="7161" width="9.7109375" style="317" bestFit="1" customWidth="1"/>
    <col min="7162" max="7412" width="9.140625" style="317"/>
    <col min="7413" max="7413" width="4" style="317" customWidth="1"/>
    <col min="7414" max="7414" width="7.140625" style="317" customWidth="1"/>
    <col min="7415" max="7415" width="9.140625" style="317" customWidth="1"/>
    <col min="7416" max="7416" width="5.5703125" style="317" customWidth="1"/>
    <col min="7417" max="7417" width="9.7109375" style="317" bestFit="1" customWidth="1"/>
    <col min="7418" max="7668" width="9.140625" style="317"/>
    <col min="7669" max="7669" width="4" style="317" customWidth="1"/>
    <col min="7670" max="7670" width="7.140625" style="317" customWidth="1"/>
    <col min="7671" max="7671" width="9.140625" style="317" customWidth="1"/>
    <col min="7672" max="7672" width="5.5703125" style="317" customWidth="1"/>
    <col min="7673" max="7673" width="9.7109375" style="317" bestFit="1" customWidth="1"/>
    <col min="7674" max="7924" width="9.140625" style="317"/>
    <col min="7925" max="7925" width="4" style="317" customWidth="1"/>
    <col min="7926" max="7926" width="7.140625" style="317" customWidth="1"/>
    <col min="7927" max="7927" width="9.140625" style="317" customWidth="1"/>
    <col min="7928" max="7928" width="5.5703125" style="317" customWidth="1"/>
    <col min="7929" max="7929" width="9.7109375" style="317" bestFit="1" customWidth="1"/>
    <col min="7930" max="8180" width="9.140625" style="317"/>
    <col min="8181" max="8181" width="4" style="317" customWidth="1"/>
    <col min="8182" max="8182" width="7.140625" style="317" customWidth="1"/>
    <col min="8183" max="8183" width="9.140625" style="317" customWidth="1"/>
    <col min="8184" max="8184" width="5.5703125" style="317" customWidth="1"/>
    <col min="8185" max="8185" width="9.7109375" style="317" bestFit="1" customWidth="1"/>
    <col min="8186" max="8436" width="9.140625" style="317"/>
    <col min="8437" max="8437" width="4" style="317" customWidth="1"/>
    <col min="8438" max="8438" width="7.140625" style="317" customWidth="1"/>
    <col min="8439" max="8439" width="9.140625" style="317" customWidth="1"/>
    <col min="8440" max="8440" width="5.5703125" style="317" customWidth="1"/>
    <col min="8441" max="8441" width="9.7109375" style="317" bestFit="1" customWidth="1"/>
    <col min="8442" max="8692" width="9.140625" style="317"/>
    <col min="8693" max="8693" width="4" style="317" customWidth="1"/>
    <col min="8694" max="8694" width="7.140625" style="317" customWidth="1"/>
    <col min="8695" max="8695" width="9.140625" style="317" customWidth="1"/>
    <col min="8696" max="8696" width="5.5703125" style="317" customWidth="1"/>
    <col min="8697" max="8697" width="9.7109375" style="317" bestFit="1" customWidth="1"/>
    <col min="8698" max="8948" width="9.140625" style="317"/>
    <col min="8949" max="8949" width="4" style="317" customWidth="1"/>
    <col min="8950" max="8950" width="7.140625" style="317" customWidth="1"/>
    <col min="8951" max="8951" width="9.140625" style="317" customWidth="1"/>
    <col min="8952" max="8952" width="5.5703125" style="317" customWidth="1"/>
    <col min="8953" max="8953" width="9.7109375" style="317" bestFit="1" customWidth="1"/>
    <col min="8954" max="9204" width="9.140625" style="317"/>
    <col min="9205" max="9205" width="4" style="317" customWidth="1"/>
    <col min="9206" max="9206" width="7.140625" style="317" customWidth="1"/>
    <col min="9207" max="9207" width="9.140625" style="317" customWidth="1"/>
    <col min="9208" max="9208" width="5.5703125" style="317" customWidth="1"/>
    <col min="9209" max="9209" width="9.7109375" style="317" bestFit="1" customWidth="1"/>
    <col min="9210" max="9460" width="9.140625" style="317"/>
    <col min="9461" max="9461" width="4" style="317" customWidth="1"/>
    <col min="9462" max="9462" width="7.140625" style="317" customWidth="1"/>
    <col min="9463" max="9463" width="9.140625" style="317" customWidth="1"/>
    <col min="9464" max="9464" width="5.5703125" style="317" customWidth="1"/>
    <col min="9465" max="9465" width="9.7109375" style="317" bestFit="1" customWidth="1"/>
    <col min="9466" max="9716" width="9.140625" style="317"/>
    <col min="9717" max="9717" width="4" style="317" customWidth="1"/>
    <col min="9718" max="9718" width="7.140625" style="317" customWidth="1"/>
    <col min="9719" max="9719" width="9.140625" style="317" customWidth="1"/>
    <col min="9720" max="9720" width="5.5703125" style="317" customWidth="1"/>
    <col min="9721" max="9721" width="9.7109375" style="317" bestFit="1" customWidth="1"/>
    <col min="9722" max="9972" width="9.140625" style="317"/>
    <col min="9973" max="9973" width="4" style="317" customWidth="1"/>
    <col min="9974" max="9974" width="7.140625" style="317" customWidth="1"/>
    <col min="9975" max="9975" width="9.140625" style="317" customWidth="1"/>
    <col min="9976" max="9976" width="5.5703125" style="317" customWidth="1"/>
    <col min="9977" max="9977" width="9.7109375" style="317" bestFit="1" customWidth="1"/>
    <col min="9978" max="10228" width="9.140625" style="317"/>
    <col min="10229" max="10229" width="4" style="317" customWidth="1"/>
    <col min="10230" max="10230" width="7.140625" style="317" customWidth="1"/>
    <col min="10231" max="10231" width="9.140625" style="317" customWidth="1"/>
    <col min="10232" max="10232" width="5.5703125" style="317" customWidth="1"/>
    <col min="10233" max="10233" width="9.7109375" style="317" bestFit="1" customWidth="1"/>
    <col min="10234" max="10484" width="9.140625" style="317"/>
    <col min="10485" max="10485" width="4" style="317" customWidth="1"/>
    <col min="10486" max="10486" width="7.140625" style="317" customWidth="1"/>
    <col min="10487" max="10487" width="9.140625" style="317" customWidth="1"/>
    <col min="10488" max="10488" width="5.5703125" style="317" customWidth="1"/>
    <col min="10489" max="10489" width="9.7109375" style="317" bestFit="1" customWidth="1"/>
    <col min="10490" max="10740" width="9.140625" style="317"/>
    <col min="10741" max="10741" width="4" style="317" customWidth="1"/>
    <col min="10742" max="10742" width="7.140625" style="317" customWidth="1"/>
    <col min="10743" max="10743" width="9.140625" style="317" customWidth="1"/>
    <col min="10744" max="10744" width="5.5703125" style="317" customWidth="1"/>
    <col min="10745" max="10745" width="9.7109375" style="317" bestFit="1" customWidth="1"/>
    <col min="10746" max="10996" width="9.140625" style="317"/>
    <col min="10997" max="10997" width="4" style="317" customWidth="1"/>
    <col min="10998" max="10998" width="7.140625" style="317" customWidth="1"/>
    <col min="10999" max="10999" width="9.140625" style="317" customWidth="1"/>
    <col min="11000" max="11000" width="5.5703125" style="317" customWidth="1"/>
    <col min="11001" max="11001" width="9.7109375" style="317" bestFit="1" customWidth="1"/>
    <col min="11002" max="11252" width="9.140625" style="317"/>
    <col min="11253" max="11253" width="4" style="317" customWidth="1"/>
    <col min="11254" max="11254" width="7.140625" style="317" customWidth="1"/>
    <col min="11255" max="11255" width="9.140625" style="317" customWidth="1"/>
    <col min="11256" max="11256" width="5.5703125" style="317" customWidth="1"/>
    <col min="11257" max="11257" width="9.7109375" style="317" bestFit="1" customWidth="1"/>
    <col min="11258" max="11508" width="9.140625" style="317"/>
    <col min="11509" max="11509" width="4" style="317" customWidth="1"/>
    <col min="11510" max="11510" width="7.140625" style="317" customWidth="1"/>
    <col min="11511" max="11511" width="9.140625" style="317" customWidth="1"/>
    <col min="11512" max="11512" width="5.5703125" style="317" customWidth="1"/>
    <col min="11513" max="11513" width="9.7109375" style="317" bestFit="1" customWidth="1"/>
    <col min="11514" max="11764" width="9.140625" style="317"/>
    <col min="11765" max="11765" width="4" style="317" customWidth="1"/>
    <col min="11766" max="11766" width="7.140625" style="317" customWidth="1"/>
    <col min="11767" max="11767" width="9.140625" style="317" customWidth="1"/>
    <col min="11768" max="11768" width="5.5703125" style="317" customWidth="1"/>
    <col min="11769" max="11769" width="9.7109375" style="317" bestFit="1" customWidth="1"/>
    <col min="11770" max="12020" width="9.140625" style="317"/>
    <col min="12021" max="12021" width="4" style="317" customWidth="1"/>
    <col min="12022" max="12022" width="7.140625" style="317" customWidth="1"/>
    <col min="12023" max="12023" width="9.140625" style="317" customWidth="1"/>
    <col min="12024" max="12024" width="5.5703125" style="317" customWidth="1"/>
    <col min="12025" max="12025" width="9.7109375" style="317" bestFit="1" customWidth="1"/>
    <col min="12026" max="12276" width="9.140625" style="317"/>
    <col min="12277" max="12277" width="4" style="317" customWidth="1"/>
    <col min="12278" max="12278" width="7.140625" style="317" customWidth="1"/>
    <col min="12279" max="12279" width="9.140625" style="317" customWidth="1"/>
    <col min="12280" max="12280" width="5.5703125" style="317" customWidth="1"/>
    <col min="12281" max="12281" width="9.7109375" style="317" bestFit="1" customWidth="1"/>
    <col min="12282" max="12532" width="9.140625" style="317"/>
    <col min="12533" max="12533" width="4" style="317" customWidth="1"/>
    <col min="12534" max="12534" width="7.140625" style="317" customWidth="1"/>
    <col min="12535" max="12535" width="9.140625" style="317" customWidth="1"/>
    <col min="12536" max="12536" width="5.5703125" style="317" customWidth="1"/>
    <col min="12537" max="12537" width="9.7109375" style="317" bestFit="1" customWidth="1"/>
    <col min="12538" max="12788" width="9.140625" style="317"/>
    <col min="12789" max="12789" width="4" style="317" customWidth="1"/>
    <col min="12790" max="12790" width="7.140625" style="317" customWidth="1"/>
    <col min="12791" max="12791" width="9.140625" style="317" customWidth="1"/>
    <col min="12792" max="12792" width="5.5703125" style="317" customWidth="1"/>
    <col min="12793" max="12793" width="9.7109375" style="317" bestFit="1" customWidth="1"/>
    <col min="12794" max="13044" width="9.140625" style="317"/>
    <col min="13045" max="13045" width="4" style="317" customWidth="1"/>
    <col min="13046" max="13046" width="7.140625" style="317" customWidth="1"/>
    <col min="13047" max="13047" width="9.140625" style="317" customWidth="1"/>
    <col min="13048" max="13048" width="5.5703125" style="317" customWidth="1"/>
    <col min="13049" max="13049" width="9.7109375" style="317" bestFit="1" customWidth="1"/>
    <col min="13050" max="13300" width="9.140625" style="317"/>
    <col min="13301" max="13301" width="4" style="317" customWidth="1"/>
    <col min="13302" max="13302" width="7.140625" style="317" customWidth="1"/>
    <col min="13303" max="13303" width="9.140625" style="317" customWidth="1"/>
    <col min="13304" max="13304" width="5.5703125" style="317" customWidth="1"/>
    <col min="13305" max="13305" width="9.7109375" style="317" bestFit="1" customWidth="1"/>
    <col min="13306" max="13556" width="9.140625" style="317"/>
    <col min="13557" max="13557" width="4" style="317" customWidth="1"/>
    <col min="13558" max="13558" width="7.140625" style="317" customWidth="1"/>
    <col min="13559" max="13559" width="9.140625" style="317" customWidth="1"/>
    <col min="13560" max="13560" width="5.5703125" style="317" customWidth="1"/>
    <col min="13561" max="13561" width="9.7109375" style="317" bestFit="1" customWidth="1"/>
    <col min="13562" max="13812" width="9.140625" style="317"/>
    <col min="13813" max="13813" width="4" style="317" customWidth="1"/>
    <col min="13814" max="13814" width="7.140625" style="317" customWidth="1"/>
    <col min="13815" max="13815" width="9.140625" style="317" customWidth="1"/>
    <col min="13816" max="13816" width="5.5703125" style="317" customWidth="1"/>
    <col min="13817" max="13817" width="9.7109375" style="317" bestFit="1" customWidth="1"/>
    <col min="13818" max="14068" width="9.140625" style="317"/>
    <col min="14069" max="14069" width="4" style="317" customWidth="1"/>
    <col min="14070" max="14070" width="7.140625" style="317" customWidth="1"/>
    <col min="14071" max="14071" width="9.140625" style="317" customWidth="1"/>
    <col min="14072" max="14072" width="5.5703125" style="317" customWidth="1"/>
    <col min="14073" max="14073" width="9.7109375" style="317" bestFit="1" customWidth="1"/>
    <col min="14074" max="14324" width="9.140625" style="317"/>
    <col min="14325" max="14325" width="4" style="317" customWidth="1"/>
    <col min="14326" max="14326" width="7.140625" style="317" customWidth="1"/>
    <col min="14327" max="14327" width="9.140625" style="317" customWidth="1"/>
    <col min="14328" max="14328" width="5.5703125" style="317" customWidth="1"/>
    <col min="14329" max="14329" width="9.7109375" style="317" bestFit="1" customWidth="1"/>
    <col min="14330" max="14580" width="9.140625" style="317"/>
    <col min="14581" max="14581" width="4" style="317" customWidth="1"/>
    <col min="14582" max="14582" width="7.140625" style="317" customWidth="1"/>
    <col min="14583" max="14583" width="9.140625" style="317" customWidth="1"/>
    <col min="14584" max="14584" width="5.5703125" style="317" customWidth="1"/>
    <col min="14585" max="14585" width="9.7109375" style="317" bestFit="1" customWidth="1"/>
    <col min="14586" max="14836" width="9.140625" style="317"/>
    <col min="14837" max="14837" width="4" style="317" customWidth="1"/>
    <col min="14838" max="14838" width="7.140625" style="317" customWidth="1"/>
    <col min="14839" max="14839" width="9.140625" style="317" customWidth="1"/>
    <col min="14840" max="14840" width="5.5703125" style="317" customWidth="1"/>
    <col min="14841" max="14841" width="9.7109375" style="317" bestFit="1" customWidth="1"/>
    <col min="14842" max="15092" width="9.140625" style="317"/>
    <col min="15093" max="15093" width="4" style="317" customWidth="1"/>
    <col min="15094" max="15094" width="7.140625" style="317" customWidth="1"/>
    <col min="15095" max="15095" width="9.140625" style="317" customWidth="1"/>
    <col min="15096" max="15096" width="5.5703125" style="317" customWidth="1"/>
    <col min="15097" max="15097" width="9.7109375" style="317" bestFit="1" customWidth="1"/>
    <col min="15098" max="15348" width="9.140625" style="317"/>
    <col min="15349" max="15349" width="4" style="317" customWidth="1"/>
    <col min="15350" max="15350" width="7.140625" style="317" customWidth="1"/>
    <col min="15351" max="15351" width="9.140625" style="317" customWidth="1"/>
    <col min="15352" max="15352" width="5.5703125" style="317" customWidth="1"/>
    <col min="15353" max="15353" width="9.7109375" style="317" bestFit="1" customWidth="1"/>
    <col min="15354" max="15604" width="9.140625" style="317"/>
    <col min="15605" max="15605" width="4" style="317" customWidth="1"/>
    <col min="15606" max="15606" width="7.140625" style="317" customWidth="1"/>
    <col min="15607" max="15607" width="9.140625" style="317" customWidth="1"/>
    <col min="15608" max="15608" width="5.5703125" style="317" customWidth="1"/>
    <col min="15609" max="15609" width="9.7109375" style="317" bestFit="1" customWidth="1"/>
    <col min="15610" max="15860" width="9.140625" style="317"/>
    <col min="15861" max="15861" width="4" style="317" customWidth="1"/>
    <col min="15862" max="15862" width="7.140625" style="317" customWidth="1"/>
    <col min="15863" max="15863" width="9.140625" style="317" customWidth="1"/>
    <col min="15864" max="15864" width="5.5703125" style="317" customWidth="1"/>
    <col min="15865" max="15865" width="9.7109375" style="317" bestFit="1" customWidth="1"/>
    <col min="15866" max="16116" width="9.140625" style="317"/>
    <col min="16117" max="16117" width="4" style="317" customWidth="1"/>
    <col min="16118" max="16118" width="7.140625" style="317" customWidth="1"/>
    <col min="16119" max="16119" width="9.140625" style="317" customWidth="1"/>
    <col min="16120" max="16120" width="5.5703125" style="317" customWidth="1"/>
    <col min="16121" max="16121" width="9.7109375" style="317" bestFit="1" customWidth="1"/>
    <col min="16122" max="16384" width="9.140625" style="317"/>
  </cols>
  <sheetData>
    <row r="1" spans="1:10" ht="16.5" thickBot="1" x14ac:dyDescent="0.3">
      <c r="A1" s="120"/>
      <c r="B1" s="120"/>
      <c r="C1" s="667" t="s">
        <v>627</v>
      </c>
      <c r="D1" s="668"/>
      <c r="E1" s="668"/>
      <c r="F1" s="668"/>
      <c r="G1" s="668"/>
      <c r="H1" s="668"/>
      <c r="I1" s="668"/>
      <c r="J1" s="669"/>
    </row>
    <row r="2" spans="1:10" x14ac:dyDescent="0.25">
      <c r="A2" s="329"/>
    </row>
    <row r="3" spans="1:10" x14ac:dyDescent="0.25">
      <c r="C3" s="327" t="s">
        <v>644</v>
      </c>
      <c r="D3" s="327"/>
      <c r="E3" s="679">
        <f>ProviderName</f>
        <v>0</v>
      </c>
      <c r="F3" s="680"/>
      <c r="G3" s="680"/>
      <c r="H3" s="680"/>
      <c r="I3" s="680"/>
      <c r="J3" s="680"/>
    </row>
    <row r="4" spans="1:10" x14ac:dyDescent="0.25">
      <c r="C4" s="327"/>
      <c r="D4" s="327"/>
      <c r="E4" s="327"/>
      <c r="F4" s="327"/>
      <c r="G4" s="327"/>
      <c r="H4" s="327"/>
      <c r="I4" s="327"/>
      <c r="J4" s="327"/>
    </row>
    <row r="5" spans="1:10" x14ac:dyDescent="0.25">
      <c r="C5" s="327" t="s">
        <v>71</v>
      </c>
      <c r="D5" s="327"/>
      <c r="E5" s="679" t="str">
        <f xml:space="preserve"> Application!E9 &amp; ", " &amp; Application!E10 &amp; ", " &amp; Application!H10 &amp; "  " &amp; Application!J10</f>
        <v xml:space="preserve">, ,   </v>
      </c>
      <c r="F5" s="680"/>
      <c r="G5" s="680"/>
      <c r="H5" s="680"/>
      <c r="I5" s="680"/>
      <c r="J5" s="680"/>
    </row>
    <row r="6" spans="1:10" x14ac:dyDescent="0.25">
      <c r="C6" s="327"/>
      <c r="D6" s="327"/>
      <c r="E6" s="327"/>
      <c r="F6" s="327"/>
      <c r="G6" s="327"/>
      <c r="H6" s="327"/>
      <c r="I6" s="327"/>
      <c r="J6" s="327"/>
    </row>
    <row r="7" spans="1:10" x14ac:dyDescent="0.25">
      <c r="C7" s="327" t="s">
        <v>129</v>
      </c>
      <c r="D7" s="327"/>
      <c r="E7" s="681">
        <f>Application!J7</f>
        <v>0</v>
      </c>
      <c r="F7" s="682"/>
      <c r="G7" s="682"/>
      <c r="H7" s="682"/>
      <c r="I7" s="682"/>
      <c r="J7" s="682"/>
    </row>
    <row r="8" spans="1:10" x14ac:dyDescent="0.25">
      <c r="C8" s="327"/>
      <c r="D8" s="327"/>
      <c r="E8" s="328"/>
      <c r="F8" s="327"/>
      <c r="G8" s="327"/>
      <c r="H8" s="328"/>
      <c r="I8" s="327"/>
      <c r="J8" s="327"/>
    </row>
    <row r="9" spans="1:10" ht="31.5" customHeight="1" x14ac:dyDescent="0.25">
      <c r="C9" s="685" t="s">
        <v>87</v>
      </c>
      <c r="D9" s="686"/>
      <c r="E9" s="687">
        <f xml:space="preserve">  IF(ISNUMBER(Application!M62), Application!M62,  IF(ISNUMBER(ActiveCap), ActiveCap, PerPersonBeforeOfffsets))</f>
        <v>0</v>
      </c>
      <c r="F9" s="688"/>
      <c r="G9" s="688"/>
      <c r="H9" s="683" t="str">
        <f>IF(ISNUMBER(Application!M62), "From Exception Override", "")</f>
        <v/>
      </c>
      <c r="I9" s="684"/>
      <c r="J9" s="684"/>
    </row>
    <row r="10" spans="1:10" x14ac:dyDescent="0.25">
      <c r="C10" s="327"/>
      <c r="D10" s="327"/>
      <c r="E10" s="327"/>
      <c r="F10" s="327"/>
      <c r="G10" s="327"/>
      <c r="H10" s="327"/>
      <c r="I10" s="327"/>
      <c r="J10" s="327"/>
    </row>
    <row r="11" spans="1:10" ht="31.5" customHeight="1" x14ac:dyDescent="0.25">
      <c r="C11" s="685" t="s">
        <v>696</v>
      </c>
      <c r="D11" s="686"/>
      <c r="E11" s="686"/>
      <c r="F11" s="687">
        <f xml:space="preserve"> IF(ISNUMBER(Application!M62), Application!M62*Application!I13,   IF(ISNUMBER(ActiveCap),  IFERROR(ActiveCap * ALTRCapacity,0),IFERROR(PerPersonBeforeOfffsets*ALTRCapacity,0)))</f>
        <v>0</v>
      </c>
      <c r="G11" s="688"/>
      <c r="H11" s="685" t="str">
        <f ca="1" xml:space="preserve">  IF(ISNUMBER(Application!M62), "From Exception Override", "") &amp; Break &amp;   "Funded Capacity =  " &amp; ALTRCapacity &amp; "  consumers"</f>
        <v xml:space="preserve">
Funded Capacity =    consumers</v>
      </c>
      <c r="I11" s="689"/>
      <c r="J11" s="689"/>
    </row>
    <row r="12" spans="1:10" x14ac:dyDescent="0.25">
      <c r="C12" s="327"/>
      <c r="D12" s="327"/>
      <c r="E12" s="327"/>
      <c r="F12" s="327"/>
      <c r="G12" s="327"/>
      <c r="H12" s="327"/>
      <c r="I12" s="327"/>
      <c r="J12" s="327"/>
    </row>
    <row r="13" spans="1:10" ht="15.75" thickBot="1" x14ac:dyDescent="0.3">
      <c r="B13" s="204"/>
      <c r="C13" s="330" t="s">
        <v>72</v>
      </c>
      <c r="D13" s="331"/>
      <c r="E13" s="331"/>
      <c r="F13" s="331"/>
      <c r="G13" s="331"/>
      <c r="H13" s="331"/>
      <c r="I13" s="331"/>
      <c r="J13" s="331"/>
    </row>
    <row r="14" spans="1:10" x14ac:dyDescent="0.25">
      <c r="C14" s="693"/>
      <c r="D14" s="694"/>
      <c r="E14" s="694"/>
      <c r="F14" s="694"/>
      <c r="G14" s="694"/>
      <c r="H14" s="694"/>
      <c r="I14" s="694"/>
      <c r="J14" s="695"/>
    </row>
    <row r="15" spans="1:10" x14ac:dyDescent="0.25">
      <c r="C15" s="696"/>
      <c r="D15" s="697"/>
      <c r="E15" s="697"/>
      <c r="F15" s="697"/>
      <c r="G15" s="697"/>
      <c r="H15" s="697"/>
      <c r="I15" s="697"/>
      <c r="J15" s="698"/>
    </row>
    <row r="16" spans="1:10" x14ac:dyDescent="0.25">
      <c r="C16" s="696"/>
      <c r="D16" s="697"/>
      <c r="E16" s="697"/>
      <c r="F16" s="697"/>
      <c r="G16" s="697"/>
      <c r="H16" s="697"/>
      <c r="I16" s="697"/>
      <c r="J16" s="698"/>
    </row>
    <row r="17" spans="3:10" x14ac:dyDescent="0.25">
      <c r="C17" s="696"/>
      <c r="D17" s="697"/>
      <c r="E17" s="697"/>
      <c r="F17" s="697"/>
      <c r="G17" s="697"/>
      <c r="H17" s="697"/>
      <c r="I17" s="697"/>
      <c r="J17" s="698"/>
    </row>
    <row r="18" spans="3:10" x14ac:dyDescent="0.25">
      <c r="C18" s="696"/>
      <c r="D18" s="697"/>
      <c r="E18" s="697"/>
      <c r="F18" s="697"/>
      <c r="G18" s="697"/>
      <c r="H18" s="697"/>
      <c r="I18" s="697"/>
      <c r="J18" s="698"/>
    </row>
    <row r="19" spans="3:10" x14ac:dyDescent="0.25">
      <c r="C19" s="696"/>
      <c r="D19" s="697"/>
      <c r="E19" s="697"/>
      <c r="F19" s="697"/>
      <c r="G19" s="697"/>
      <c r="H19" s="697"/>
      <c r="I19" s="697"/>
      <c r="J19" s="698"/>
    </row>
    <row r="20" spans="3:10" x14ac:dyDescent="0.25">
      <c r="C20" s="696"/>
      <c r="D20" s="697"/>
      <c r="E20" s="697"/>
      <c r="F20" s="697"/>
      <c r="G20" s="697"/>
      <c r="H20" s="697"/>
      <c r="I20" s="697"/>
      <c r="J20" s="698"/>
    </row>
    <row r="21" spans="3:10" ht="15.75" thickBot="1" x14ac:dyDescent="0.3">
      <c r="C21" s="699"/>
      <c r="D21" s="700"/>
      <c r="E21" s="700"/>
      <c r="F21" s="700"/>
      <c r="G21" s="700"/>
      <c r="H21" s="700"/>
      <c r="I21" s="700"/>
      <c r="J21" s="701"/>
    </row>
    <row r="22" spans="3:10" ht="45.75" customHeight="1" thickBot="1" x14ac:dyDescent="0.3">
      <c r="C22" s="332"/>
      <c r="D22" s="332"/>
      <c r="E22" s="332"/>
      <c r="F22" s="332"/>
      <c r="G22" s="332"/>
      <c r="H22" s="332"/>
      <c r="I22" s="332"/>
      <c r="J22" s="332"/>
    </row>
    <row r="23" spans="3:10" ht="15.75" thickBot="1" x14ac:dyDescent="0.3">
      <c r="C23" s="670" t="s">
        <v>88</v>
      </c>
      <c r="D23" s="671"/>
      <c r="E23" s="671"/>
      <c r="F23" s="671"/>
      <c r="G23" s="671"/>
      <c r="H23" s="671"/>
      <c r="I23" s="671"/>
      <c r="J23" s="672"/>
    </row>
    <row r="24" spans="3:10" x14ac:dyDescent="0.25">
      <c r="C24" s="333" t="s">
        <v>697</v>
      </c>
      <c r="D24" s="334" t="s">
        <v>646</v>
      </c>
      <c r="E24" s="335"/>
      <c r="F24" s="335"/>
      <c r="G24" s="335"/>
      <c r="H24" s="335"/>
      <c r="I24" s="336"/>
      <c r="J24" s="337"/>
    </row>
    <row r="25" spans="3:10" x14ac:dyDescent="0.25">
      <c r="C25" s="338" t="s">
        <v>66</v>
      </c>
      <c r="D25" s="339" t="s">
        <v>734</v>
      </c>
      <c r="E25" s="340"/>
      <c r="F25" s="340"/>
      <c r="G25" s="340"/>
      <c r="H25" s="340"/>
      <c r="I25" s="341"/>
      <c r="J25" s="342"/>
    </row>
    <row r="26" spans="3:10" x14ac:dyDescent="0.25">
      <c r="C26" s="673" t="s">
        <v>698</v>
      </c>
      <c r="D26" s="674"/>
      <c r="E26" s="674"/>
      <c r="F26" s="674"/>
      <c r="G26" s="674"/>
      <c r="H26" s="674"/>
      <c r="I26" s="674"/>
      <c r="J26" s="675"/>
    </row>
    <row r="27" spans="3:10" ht="19.5" customHeight="1" x14ac:dyDescent="0.25">
      <c r="C27" s="676"/>
      <c r="D27" s="677"/>
      <c r="E27" s="677"/>
      <c r="F27" s="677"/>
      <c r="G27" s="677"/>
      <c r="H27" s="677"/>
      <c r="I27" s="677"/>
      <c r="J27" s="678"/>
    </row>
    <row r="28" spans="3:10" ht="15.75" thickBot="1" x14ac:dyDescent="0.3">
      <c r="C28" s="704" t="s">
        <v>31</v>
      </c>
      <c r="D28" s="705"/>
      <c r="E28" s="702"/>
      <c r="F28" s="703"/>
      <c r="G28" s="690"/>
      <c r="H28" s="691"/>
      <c r="I28" s="691"/>
      <c r="J28" s="692"/>
    </row>
    <row r="29" spans="3:10" ht="15.75" thickBot="1" x14ac:dyDescent="0.3">
      <c r="C29" s="332"/>
      <c r="D29" s="332"/>
      <c r="E29" s="332"/>
      <c r="F29" s="332"/>
      <c r="G29" s="332"/>
      <c r="H29" s="332"/>
      <c r="I29" s="332"/>
      <c r="J29" s="332"/>
    </row>
    <row r="30" spans="3:10" ht="15.75" thickBot="1" x14ac:dyDescent="0.3">
      <c r="C30" s="670" t="s">
        <v>629</v>
      </c>
      <c r="D30" s="671"/>
      <c r="E30" s="671"/>
      <c r="F30" s="671"/>
      <c r="G30" s="671"/>
      <c r="H30" s="671"/>
      <c r="I30" s="671"/>
      <c r="J30" s="672"/>
    </row>
    <row r="31" spans="3:10" x14ac:dyDescent="0.25">
      <c r="C31" s="333" t="s">
        <v>697</v>
      </c>
      <c r="D31" s="334" t="s">
        <v>628</v>
      </c>
      <c r="E31" s="335"/>
      <c r="F31" s="335"/>
      <c r="G31" s="335"/>
      <c r="H31" s="335"/>
      <c r="I31" s="336"/>
      <c r="J31" s="337"/>
    </row>
    <row r="32" spans="3:10" x14ac:dyDescent="0.25">
      <c r="C32" s="338" t="s">
        <v>66</v>
      </c>
      <c r="D32" s="339" t="s">
        <v>647</v>
      </c>
      <c r="E32" s="340"/>
      <c r="F32" s="340"/>
      <c r="G32" s="340"/>
      <c r="H32" s="340"/>
      <c r="I32" s="341"/>
      <c r="J32" s="342"/>
    </row>
    <row r="33" spans="3:10" x14ac:dyDescent="0.25">
      <c r="C33" s="673" t="s">
        <v>698</v>
      </c>
      <c r="D33" s="674"/>
      <c r="E33" s="674"/>
      <c r="F33" s="674"/>
      <c r="G33" s="674"/>
      <c r="H33" s="674"/>
      <c r="I33" s="674"/>
      <c r="J33" s="675"/>
    </row>
    <row r="34" spans="3:10" ht="19.5" customHeight="1" x14ac:dyDescent="0.25">
      <c r="C34" s="676"/>
      <c r="D34" s="677"/>
      <c r="E34" s="677"/>
      <c r="F34" s="677"/>
      <c r="G34" s="677"/>
      <c r="H34" s="677"/>
      <c r="I34" s="677"/>
      <c r="J34" s="678"/>
    </row>
    <row r="35" spans="3:10" ht="15.75" thickBot="1" x14ac:dyDescent="0.3">
      <c r="C35" s="704" t="s">
        <v>31</v>
      </c>
      <c r="D35" s="705"/>
      <c r="E35" s="702"/>
      <c r="F35" s="703"/>
      <c r="G35" s="690"/>
      <c r="H35" s="691"/>
      <c r="I35" s="691"/>
      <c r="J35" s="692"/>
    </row>
  </sheetData>
  <sheetProtection selectLockedCells="1"/>
  <mergeCells count="21">
    <mergeCell ref="E28:F28"/>
    <mergeCell ref="C28:D28"/>
    <mergeCell ref="C35:D35"/>
    <mergeCell ref="E35:F35"/>
    <mergeCell ref="G35:J35"/>
    <mergeCell ref="C1:J1"/>
    <mergeCell ref="C23:J23"/>
    <mergeCell ref="C26:J27"/>
    <mergeCell ref="C30:J30"/>
    <mergeCell ref="C33:J34"/>
    <mergeCell ref="E3:J3"/>
    <mergeCell ref="E5:J5"/>
    <mergeCell ref="E7:J7"/>
    <mergeCell ref="H9:J9"/>
    <mergeCell ref="C9:D9"/>
    <mergeCell ref="C11:E11"/>
    <mergeCell ref="E9:G9"/>
    <mergeCell ref="H11:J11"/>
    <mergeCell ref="G28:J28"/>
    <mergeCell ref="F11:G11"/>
    <mergeCell ref="C14:J21"/>
  </mergeCells>
  <printOptions horizontalCentered="1"/>
  <pageMargins left="0.7" right="0.7" top="0.75" bottom="0.75" header="0.3" footer="0.3"/>
  <pageSetup orientation="portrait" r:id="rId1"/>
  <headerFooter>
    <oddFooter>&amp;L&amp;9&amp;F&amp;R&amp;9Printed on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57"/>
  <sheetViews>
    <sheetView workbookViewId="0">
      <selection activeCell="P357" sqref="P357"/>
    </sheetView>
  </sheetViews>
  <sheetFormatPr defaultRowHeight="15" x14ac:dyDescent="0.25"/>
  <cols>
    <col min="1" max="1" width="19.7109375" style="40" customWidth="1"/>
    <col min="2" max="2" width="14.85546875" style="40" customWidth="1"/>
    <col min="3" max="3" width="11.7109375" style="40" customWidth="1"/>
    <col min="4" max="4" width="17.42578125" customWidth="1"/>
    <col min="5" max="5" width="4.28515625" style="40" customWidth="1"/>
    <col min="6" max="6" width="10.28515625" style="384" customWidth="1"/>
    <col min="7" max="7" width="5" style="289" customWidth="1"/>
    <col min="8" max="8" width="24.5703125" style="289" customWidth="1"/>
    <col min="9" max="9" width="0" style="40" hidden="1" customWidth="1"/>
    <col min="10" max="11" width="9.140625" style="40" hidden="1" customWidth="1"/>
    <col min="12" max="13" width="0" style="40" hidden="1" customWidth="1"/>
    <col min="14" max="14" width="0" style="428" hidden="1" customWidth="1"/>
    <col min="15" max="15" width="0" style="40" hidden="1" customWidth="1"/>
    <col min="16" max="16384" width="9.140625" style="40"/>
  </cols>
  <sheetData>
    <row r="1" spans="1:14" ht="31.5" customHeight="1" thickBot="1" x14ac:dyDescent="0.3">
      <c r="A1" s="706" t="str">
        <f ca="1" xml:space="preserve"> "Rate Caps by Geographic Region, for New Programs or" &amp; Break &amp;  "Current Site Replacement:  101 CMR 420.03(8)"</f>
        <v>Rate Caps by Geographic Region, for New Programs or
Current Site Replacement:  101 CMR 420.03(8)</v>
      </c>
      <c r="B1" s="707"/>
      <c r="C1" s="708"/>
      <c r="D1" s="709"/>
      <c r="N1" s="428" t="s">
        <v>759</v>
      </c>
    </row>
    <row r="2" spans="1:14" s="282" customFormat="1" ht="38.25" customHeight="1" x14ac:dyDescent="0.25">
      <c r="A2" s="458" t="str">
        <f>"Massachusetts City   " &amp; "(N=" &amp; COUNTA(A3:A353) &amp; ")"</f>
        <v>Massachusetts City   (N=351)</v>
      </c>
      <c r="B2" s="398" t="s">
        <v>130</v>
      </c>
      <c r="C2" s="399" t="s">
        <v>749</v>
      </c>
      <c r="D2" s="400" t="s">
        <v>750</v>
      </c>
      <c r="F2" s="391" t="s">
        <v>746</v>
      </c>
      <c r="G2" s="290"/>
      <c r="H2" s="393" t="str">
        <f ca="1" xml:space="preserve"> "DDS Area  Office /" &amp; Break &amp; "State Agency"</f>
        <v>DDS Area  Office /
State Agency</v>
      </c>
      <c r="N2" s="429"/>
    </row>
    <row r="3" spans="1:14" x14ac:dyDescent="0.25">
      <c r="A3" s="380" t="s">
        <v>197</v>
      </c>
      <c r="B3" s="381" t="s">
        <v>198</v>
      </c>
      <c r="C3" s="452">
        <v>1601</v>
      </c>
      <c r="D3" s="453">
        <v>1732</v>
      </c>
      <c r="F3" s="385" t="s">
        <v>488</v>
      </c>
      <c r="H3" s="392" t="s">
        <v>572</v>
      </c>
    </row>
    <row r="4" spans="1:14" x14ac:dyDescent="0.25">
      <c r="A4" s="380" t="s">
        <v>321</v>
      </c>
      <c r="B4" s="381" t="s">
        <v>198</v>
      </c>
      <c r="C4" s="452">
        <v>1601</v>
      </c>
      <c r="D4" s="453">
        <v>1732</v>
      </c>
      <c r="F4" s="386" t="s">
        <v>489</v>
      </c>
      <c r="H4" s="389" t="s">
        <v>561</v>
      </c>
    </row>
    <row r="5" spans="1:14" x14ac:dyDescent="0.25">
      <c r="A5" s="380" t="s">
        <v>322</v>
      </c>
      <c r="B5" s="381" t="s">
        <v>198</v>
      </c>
      <c r="C5" s="452">
        <v>1601</v>
      </c>
      <c r="D5" s="453">
        <v>1732</v>
      </c>
      <c r="F5" s="386" t="s">
        <v>528</v>
      </c>
      <c r="H5" s="389" t="s">
        <v>573</v>
      </c>
    </row>
    <row r="6" spans="1:14" x14ac:dyDescent="0.25">
      <c r="A6" s="380" t="s">
        <v>323</v>
      </c>
      <c r="B6" s="381" t="s">
        <v>198</v>
      </c>
      <c r="C6" s="452">
        <v>1601</v>
      </c>
      <c r="D6" s="453">
        <v>1732</v>
      </c>
      <c r="F6" s="386" t="s">
        <v>534</v>
      </c>
      <c r="H6" s="389" t="s">
        <v>574</v>
      </c>
    </row>
    <row r="7" spans="1:14" x14ac:dyDescent="0.25">
      <c r="A7" s="380" t="s">
        <v>324</v>
      </c>
      <c r="B7" s="381" t="s">
        <v>198</v>
      </c>
      <c r="C7" s="452">
        <v>1601</v>
      </c>
      <c r="D7" s="453">
        <v>1732</v>
      </c>
      <c r="F7" s="386" t="s">
        <v>497</v>
      </c>
      <c r="H7" s="389" t="s">
        <v>547</v>
      </c>
    </row>
    <row r="8" spans="1:14" x14ac:dyDescent="0.25">
      <c r="A8" s="380" t="s">
        <v>325</v>
      </c>
      <c r="B8" s="381" t="s">
        <v>198</v>
      </c>
      <c r="C8" s="452">
        <v>1601</v>
      </c>
      <c r="D8" s="453">
        <v>1732</v>
      </c>
      <c r="F8" s="386" t="s">
        <v>527</v>
      </c>
      <c r="H8" s="389" t="s">
        <v>208</v>
      </c>
    </row>
    <row r="9" spans="1:14" x14ac:dyDescent="0.25">
      <c r="A9" s="380" t="s">
        <v>326</v>
      </c>
      <c r="B9" s="381" t="s">
        <v>198</v>
      </c>
      <c r="C9" s="452">
        <v>1601</v>
      </c>
      <c r="D9" s="453">
        <v>1732</v>
      </c>
      <c r="F9" s="386" t="s">
        <v>492</v>
      </c>
      <c r="H9" s="389" t="s">
        <v>562</v>
      </c>
    </row>
    <row r="10" spans="1:14" x14ac:dyDescent="0.25">
      <c r="A10" s="380" t="s">
        <v>327</v>
      </c>
      <c r="B10" s="381" t="s">
        <v>198</v>
      </c>
      <c r="C10" s="452">
        <v>1601</v>
      </c>
      <c r="D10" s="453">
        <v>1732</v>
      </c>
      <c r="F10" s="387" t="s">
        <v>491</v>
      </c>
      <c r="H10" s="389" t="s">
        <v>557</v>
      </c>
    </row>
    <row r="11" spans="1:14" x14ac:dyDescent="0.25">
      <c r="A11" s="380" t="s">
        <v>328</v>
      </c>
      <c r="B11" s="381" t="s">
        <v>198</v>
      </c>
      <c r="C11" s="452">
        <v>1601</v>
      </c>
      <c r="D11" s="453">
        <v>1732</v>
      </c>
      <c r="F11" s="386" t="s">
        <v>494</v>
      </c>
      <c r="H11" s="389" t="s">
        <v>571</v>
      </c>
    </row>
    <row r="12" spans="1:14" x14ac:dyDescent="0.25">
      <c r="A12" s="380" t="s">
        <v>329</v>
      </c>
      <c r="B12" s="381" t="s">
        <v>198</v>
      </c>
      <c r="C12" s="452">
        <v>1601</v>
      </c>
      <c r="D12" s="453">
        <v>1732</v>
      </c>
      <c r="F12" s="386" t="s">
        <v>540</v>
      </c>
      <c r="H12" s="389" t="s">
        <v>553</v>
      </c>
    </row>
    <row r="13" spans="1:14" x14ac:dyDescent="0.25">
      <c r="A13" s="380" t="s">
        <v>330</v>
      </c>
      <c r="B13" s="381" t="s">
        <v>198</v>
      </c>
      <c r="C13" s="452">
        <v>1601</v>
      </c>
      <c r="D13" s="453">
        <v>1732</v>
      </c>
      <c r="F13" s="386" t="s">
        <v>493</v>
      </c>
      <c r="H13" s="389" t="s">
        <v>221</v>
      </c>
    </row>
    <row r="14" spans="1:14" x14ac:dyDescent="0.25">
      <c r="A14" s="380" t="s">
        <v>331</v>
      </c>
      <c r="B14" s="381" t="s">
        <v>198</v>
      </c>
      <c r="C14" s="452">
        <v>1601</v>
      </c>
      <c r="D14" s="453">
        <v>1732</v>
      </c>
      <c r="F14" s="386" t="s">
        <v>495</v>
      </c>
      <c r="H14" s="389" t="s">
        <v>548</v>
      </c>
    </row>
    <row r="15" spans="1:14" x14ac:dyDescent="0.25">
      <c r="A15" s="380" t="s">
        <v>332</v>
      </c>
      <c r="B15" s="381" t="s">
        <v>198</v>
      </c>
      <c r="C15" s="452">
        <v>1601</v>
      </c>
      <c r="D15" s="453">
        <v>1732</v>
      </c>
      <c r="F15" s="386" t="s">
        <v>496</v>
      </c>
      <c r="H15" s="389" t="s">
        <v>554</v>
      </c>
    </row>
    <row r="16" spans="1:14" x14ac:dyDescent="0.25">
      <c r="A16" s="380" t="s">
        <v>333</v>
      </c>
      <c r="B16" s="381" t="s">
        <v>198</v>
      </c>
      <c r="C16" s="452">
        <v>1601</v>
      </c>
      <c r="D16" s="453">
        <v>1732</v>
      </c>
      <c r="F16" s="386" t="s">
        <v>499</v>
      </c>
      <c r="H16" s="389" t="s">
        <v>549</v>
      </c>
    </row>
    <row r="17" spans="1:8" x14ac:dyDescent="0.25">
      <c r="A17" s="380" t="s">
        <v>334</v>
      </c>
      <c r="B17" s="381" t="s">
        <v>198</v>
      </c>
      <c r="C17" s="452">
        <v>1601</v>
      </c>
      <c r="D17" s="453">
        <v>1732</v>
      </c>
      <c r="F17" s="386" t="s">
        <v>498</v>
      </c>
      <c r="H17" s="389" t="s">
        <v>288</v>
      </c>
    </row>
    <row r="18" spans="1:8" x14ac:dyDescent="0.25">
      <c r="A18" s="380" t="s">
        <v>335</v>
      </c>
      <c r="B18" s="381" t="s">
        <v>198</v>
      </c>
      <c r="C18" s="452">
        <v>1601</v>
      </c>
      <c r="D18" s="453">
        <v>1732</v>
      </c>
      <c r="F18" s="386" t="s">
        <v>500</v>
      </c>
      <c r="H18" s="389" t="s">
        <v>569</v>
      </c>
    </row>
    <row r="19" spans="1:8" x14ac:dyDescent="0.25">
      <c r="A19" s="380" t="s">
        <v>336</v>
      </c>
      <c r="B19" s="381" t="s">
        <v>198</v>
      </c>
      <c r="C19" s="452">
        <v>1601</v>
      </c>
      <c r="D19" s="453">
        <v>1732</v>
      </c>
      <c r="F19" s="386" t="s">
        <v>501</v>
      </c>
      <c r="H19" s="389" t="s">
        <v>559</v>
      </c>
    </row>
    <row r="20" spans="1:8" x14ac:dyDescent="0.25">
      <c r="A20" s="380" t="s">
        <v>337</v>
      </c>
      <c r="B20" s="381" t="s">
        <v>198</v>
      </c>
      <c r="C20" s="452">
        <v>1601</v>
      </c>
      <c r="D20" s="453">
        <v>1732</v>
      </c>
      <c r="F20" s="386" t="s">
        <v>541</v>
      </c>
      <c r="H20" s="389" t="s">
        <v>558</v>
      </c>
    </row>
    <row r="21" spans="1:8" x14ac:dyDescent="0.25">
      <c r="A21" s="380" t="s">
        <v>338</v>
      </c>
      <c r="B21" s="381" t="s">
        <v>198</v>
      </c>
      <c r="C21" s="452">
        <v>1601</v>
      </c>
      <c r="D21" s="453">
        <v>1732</v>
      </c>
      <c r="F21" s="386" t="s">
        <v>502</v>
      </c>
      <c r="H21" s="389" t="s">
        <v>555</v>
      </c>
    </row>
    <row r="22" spans="1:8" x14ac:dyDescent="0.25">
      <c r="A22" s="380" t="s">
        <v>339</v>
      </c>
      <c r="B22" s="381" t="s">
        <v>198</v>
      </c>
      <c r="C22" s="452">
        <v>1601</v>
      </c>
      <c r="D22" s="453">
        <v>1732</v>
      </c>
      <c r="F22" s="386" t="s">
        <v>506</v>
      </c>
      <c r="H22" s="389" t="s">
        <v>570</v>
      </c>
    </row>
    <row r="23" spans="1:8" x14ac:dyDescent="0.25">
      <c r="A23" s="380" t="s">
        <v>340</v>
      </c>
      <c r="B23" s="381" t="s">
        <v>198</v>
      </c>
      <c r="C23" s="452">
        <v>1601</v>
      </c>
      <c r="D23" s="453">
        <v>1732</v>
      </c>
      <c r="F23" s="386" t="s">
        <v>503</v>
      </c>
      <c r="H23" s="389" t="s">
        <v>240</v>
      </c>
    </row>
    <row r="24" spans="1:8" x14ac:dyDescent="0.25">
      <c r="A24" s="380" t="s">
        <v>341</v>
      </c>
      <c r="B24" s="381" t="s">
        <v>198</v>
      </c>
      <c r="C24" s="452">
        <v>1601</v>
      </c>
      <c r="D24" s="453">
        <v>1732</v>
      </c>
      <c r="F24" s="386" t="s">
        <v>504</v>
      </c>
      <c r="H24" s="389" t="s">
        <v>556</v>
      </c>
    </row>
    <row r="25" spans="1:8" x14ac:dyDescent="0.25">
      <c r="A25" s="380" t="s">
        <v>342</v>
      </c>
      <c r="B25" s="381" t="s">
        <v>198</v>
      </c>
      <c r="C25" s="452">
        <v>1601</v>
      </c>
      <c r="D25" s="453">
        <v>1732</v>
      </c>
      <c r="F25" s="386" t="s">
        <v>505</v>
      </c>
      <c r="H25" s="389" t="s">
        <v>550</v>
      </c>
    </row>
    <row r="26" spans="1:8" x14ac:dyDescent="0.25">
      <c r="A26" s="380" t="s">
        <v>343</v>
      </c>
      <c r="B26" s="381" t="s">
        <v>198</v>
      </c>
      <c r="C26" s="452">
        <v>1601</v>
      </c>
      <c r="D26" s="453">
        <v>1732</v>
      </c>
      <c r="F26" s="386" t="s">
        <v>507</v>
      </c>
      <c r="H26" s="389" t="s">
        <v>560</v>
      </c>
    </row>
    <row r="27" spans="1:8" x14ac:dyDescent="0.25">
      <c r="A27" s="380" t="s">
        <v>344</v>
      </c>
      <c r="B27" s="381" t="s">
        <v>198</v>
      </c>
      <c r="C27" s="452">
        <v>1601</v>
      </c>
      <c r="D27" s="453">
        <v>1732</v>
      </c>
      <c r="F27" s="386" t="s">
        <v>508</v>
      </c>
      <c r="H27" s="389" t="s">
        <v>565</v>
      </c>
    </row>
    <row r="28" spans="1:8" x14ac:dyDescent="0.25">
      <c r="A28" s="380" t="s">
        <v>345</v>
      </c>
      <c r="B28" s="381" t="s">
        <v>198</v>
      </c>
      <c r="C28" s="452">
        <v>1601</v>
      </c>
      <c r="D28" s="453">
        <v>1732</v>
      </c>
      <c r="F28" s="386" t="s">
        <v>509</v>
      </c>
      <c r="H28" s="389" t="s">
        <v>246</v>
      </c>
    </row>
    <row r="29" spans="1:8" x14ac:dyDescent="0.25">
      <c r="A29" s="380" t="s">
        <v>346</v>
      </c>
      <c r="B29" s="381" t="s">
        <v>198</v>
      </c>
      <c r="C29" s="452">
        <v>1601</v>
      </c>
      <c r="D29" s="453">
        <v>1732</v>
      </c>
      <c r="F29" s="386" t="s">
        <v>511</v>
      </c>
      <c r="H29" s="389" t="s">
        <v>563</v>
      </c>
    </row>
    <row r="30" spans="1:8" x14ac:dyDescent="0.25">
      <c r="A30" s="380" t="s">
        <v>347</v>
      </c>
      <c r="B30" s="381" t="s">
        <v>198</v>
      </c>
      <c r="C30" s="452">
        <v>1601</v>
      </c>
      <c r="D30" s="453">
        <v>1732</v>
      </c>
      <c r="F30" s="386" t="s">
        <v>510</v>
      </c>
      <c r="H30" s="389" t="s">
        <v>551</v>
      </c>
    </row>
    <row r="31" spans="1:8" x14ac:dyDescent="0.25">
      <c r="A31" s="380" t="s">
        <v>348</v>
      </c>
      <c r="B31" s="381" t="s">
        <v>198</v>
      </c>
      <c r="C31" s="452">
        <v>1601</v>
      </c>
      <c r="D31" s="453">
        <v>1732</v>
      </c>
      <c r="F31" s="386" t="s">
        <v>513</v>
      </c>
      <c r="H31" s="389" t="s">
        <v>552</v>
      </c>
    </row>
    <row r="32" spans="1:8" x14ac:dyDescent="0.25">
      <c r="A32" s="380" t="s">
        <v>349</v>
      </c>
      <c r="B32" s="381" t="s">
        <v>198</v>
      </c>
      <c r="C32" s="452">
        <v>1601</v>
      </c>
      <c r="D32" s="453">
        <v>1732</v>
      </c>
      <c r="F32" s="386" t="s">
        <v>514</v>
      </c>
      <c r="H32" s="389" t="s">
        <v>564</v>
      </c>
    </row>
    <row r="33" spans="1:8" ht="15.75" thickBot="1" x14ac:dyDescent="0.3">
      <c r="A33" s="380" t="s">
        <v>350</v>
      </c>
      <c r="B33" s="381" t="s">
        <v>198</v>
      </c>
      <c r="C33" s="452">
        <v>1601</v>
      </c>
      <c r="D33" s="453">
        <v>1732</v>
      </c>
      <c r="F33" s="386" t="s">
        <v>515</v>
      </c>
      <c r="H33" s="390" t="s">
        <v>485</v>
      </c>
    </row>
    <row r="34" spans="1:8" x14ac:dyDescent="0.25">
      <c r="A34" s="380" t="s">
        <v>351</v>
      </c>
      <c r="B34" s="381" t="s">
        <v>198</v>
      </c>
      <c r="C34" s="452">
        <v>1601</v>
      </c>
      <c r="D34" s="453">
        <v>1732</v>
      </c>
      <c r="F34" s="386" t="s">
        <v>542</v>
      </c>
    </row>
    <row r="35" spans="1:8" x14ac:dyDescent="0.25">
      <c r="A35" s="380" t="s">
        <v>352</v>
      </c>
      <c r="B35" s="381" t="s">
        <v>198</v>
      </c>
      <c r="C35" s="452">
        <v>1601</v>
      </c>
      <c r="D35" s="453">
        <v>1732</v>
      </c>
      <c r="F35" s="386" t="s">
        <v>512</v>
      </c>
    </row>
    <row r="36" spans="1:8" x14ac:dyDescent="0.25">
      <c r="A36" s="380" t="s">
        <v>353</v>
      </c>
      <c r="B36" s="381" t="s">
        <v>198</v>
      </c>
      <c r="C36" s="452">
        <v>1601</v>
      </c>
      <c r="D36" s="453">
        <v>1732</v>
      </c>
      <c r="F36" s="386" t="s">
        <v>516</v>
      </c>
    </row>
    <row r="37" spans="1:8" x14ac:dyDescent="0.25">
      <c r="A37" s="380" t="s">
        <v>354</v>
      </c>
      <c r="B37" s="381" t="s">
        <v>198</v>
      </c>
      <c r="C37" s="452">
        <v>1601</v>
      </c>
      <c r="D37" s="453">
        <v>1732</v>
      </c>
      <c r="F37" s="386" t="s">
        <v>522</v>
      </c>
    </row>
    <row r="38" spans="1:8" x14ac:dyDescent="0.25">
      <c r="A38" s="380" t="s">
        <v>355</v>
      </c>
      <c r="B38" s="381" t="s">
        <v>198</v>
      </c>
      <c r="C38" s="452">
        <v>1601</v>
      </c>
      <c r="D38" s="453">
        <v>1732</v>
      </c>
      <c r="F38" s="386" t="s">
        <v>523</v>
      </c>
    </row>
    <row r="39" spans="1:8" x14ac:dyDescent="0.25">
      <c r="A39" s="380" t="s">
        <v>356</v>
      </c>
      <c r="B39" s="381" t="s">
        <v>198</v>
      </c>
      <c r="C39" s="452">
        <v>1601</v>
      </c>
      <c r="D39" s="453">
        <v>1732</v>
      </c>
      <c r="F39" s="386" t="s">
        <v>517</v>
      </c>
    </row>
    <row r="40" spans="1:8" x14ac:dyDescent="0.25">
      <c r="A40" s="380" t="s">
        <v>357</v>
      </c>
      <c r="B40" s="381" t="s">
        <v>198</v>
      </c>
      <c r="C40" s="452">
        <v>1601</v>
      </c>
      <c r="D40" s="453">
        <v>1732</v>
      </c>
      <c r="F40" s="386" t="s">
        <v>519</v>
      </c>
    </row>
    <row r="41" spans="1:8" x14ac:dyDescent="0.25">
      <c r="A41" s="380" t="s">
        <v>358</v>
      </c>
      <c r="B41" s="381" t="s">
        <v>198</v>
      </c>
      <c r="C41" s="452">
        <v>1601</v>
      </c>
      <c r="D41" s="453">
        <v>1732</v>
      </c>
      <c r="F41" s="386" t="s">
        <v>520</v>
      </c>
    </row>
    <row r="42" spans="1:8" x14ac:dyDescent="0.25">
      <c r="A42" s="380" t="s">
        <v>359</v>
      </c>
      <c r="B42" s="381" t="s">
        <v>198</v>
      </c>
      <c r="C42" s="452">
        <v>1601</v>
      </c>
      <c r="D42" s="453">
        <v>1732</v>
      </c>
      <c r="F42" s="386" t="s">
        <v>518</v>
      </c>
    </row>
    <row r="43" spans="1:8" x14ac:dyDescent="0.25">
      <c r="A43" s="380" t="s">
        <v>360</v>
      </c>
      <c r="B43" s="381" t="s">
        <v>198</v>
      </c>
      <c r="C43" s="452">
        <v>1601</v>
      </c>
      <c r="D43" s="453">
        <v>1732</v>
      </c>
      <c r="F43" s="386" t="s">
        <v>521</v>
      </c>
    </row>
    <row r="44" spans="1:8" x14ac:dyDescent="0.25">
      <c r="A44" s="380" t="s">
        <v>361</v>
      </c>
      <c r="B44" s="381" t="s">
        <v>198</v>
      </c>
      <c r="C44" s="452">
        <v>1601</v>
      </c>
      <c r="D44" s="453">
        <v>1732</v>
      </c>
      <c r="F44" s="386" t="s">
        <v>524</v>
      </c>
    </row>
    <row r="45" spans="1:8" x14ac:dyDescent="0.25">
      <c r="A45" s="380" t="s">
        <v>362</v>
      </c>
      <c r="B45" s="381" t="s">
        <v>198</v>
      </c>
      <c r="C45" s="452">
        <v>1601</v>
      </c>
      <c r="D45" s="453">
        <v>1732</v>
      </c>
      <c r="F45" s="386" t="s">
        <v>525</v>
      </c>
    </row>
    <row r="46" spans="1:8" x14ac:dyDescent="0.25">
      <c r="A46" s="380" t="s">
        <v>279</v>
      </c>
      <c r="B46" s="381" t="s">
        <v>198</v>
      </c>
      <c r="C46" s="452">
        <v>1601</v>
      </c>
      <c r="D46" s="453">
        <v>1732</v>
      </c>
      <c r="F46" s="386" t="s">
        <v>526</v>
      </c>
    </row>
    <row r="47" spans="1:8" x14ac:dyDescent="0.25">
      <c r="A47" s="380" t="s">
        <v>363</v>
      </c>
      <c r="B47" s="381" t="s">
        <v>198</v>
      </c>
      <c r="C47" s="452">
        <v>1601</v>
      </c>
      <c r="D47" s="453">
        <v>1732</v>
      </c>
      <c r="F47" s="386" t="s">
        <v>543</v>
      </c>
    </row>
    <row r="48" spans="1:8" x14ac:dyDescent="0.25">
      <c r="A48" s="380" t="s">
        <v>364</v>
      </c>
      <c r="B48" s="381" t="s">
        <v>198</v>
      </c>
      <c r="C48" s="452">
        <v>1601</v>
      </c>
      <c r="D48" s="453">
        <v>1732</v>
      </c>
      <c r="F48" s="386" t="s">
        <v>529</v>
      </c>
    </row>
    <row r="49" spans="1:6" x14ac:dyDescent="0.25">
      <c r="A49" s="380" t="s">
        <v>365</v>
      </c>
      <c r="B49" s="381" t="s">
        <v>198</v>
      </c>
      <c r="C49" s="452">
        <v>1601</v>
      </c>
      <c r="D49" s="453">
        <v>1732</v>
      </c>
      <c r="F49" s="386" t="s">
        <v>530</v>
      </c>
    </row>
    <row r="50" spans="1:6" x14ac:dyDescent="0.25">
      <c r="A50" s="380" t="s">
        <v>366</v>
      </c>
      <c r="B50" s="381" t="s">
        <v>198</v>
      </c>
      <c r="C50" s="452">
        <v>1601</v>
      </c>
      <c r="D50" s="453">
        <v>1732</v>
      </c>
      <c r="F50" s="386" t="s">
        <v>531</v>
      </c>
    </row>
    <row r="51" spans="1:6" x14ac:dyDescent="0.25">
      <c r="A51" s="380" t="s">
        <v>367</v>
      </c>
      <c r="B51" s="381" t="s">
        <v>198</v>
      </c>
      <c r="C51" s="452">
        <v>1601</v>
      </c>
      <c r="D51" s="453">
        <v>1732</v>
      </c>
      <c r="F51" s="386" t="s">
        <v>532</v>
      </c>
    </row>
    <row r="52" spans="1:6" x14ac:dyDescent="0.25">
      <c r="A52" s="380" t="s">
        <v>368</v>
      </c>
      <c r="B52" s="381" t="s">
        <v>198</v>
      </c>
      <c r="C52" s="452">
        <v>1601</v>
      </c>
      <c r="D52" s="453">
        <v>1732</v>
      </c>
      <c r="F52" s="386" t="s">
        <v>533</v>
      </c>
    </row>
    <row r="53" spans="1:6" x14ac:dyDescent="0.25">
      <c r="A53" s="380" t="s">
        <v>369</v>
      </c>
      <c r="B53" s="381" t="s">
        <v>198</v>
      </c>
      <c r="C53" s="452">
        <v>1601</v>
      </c>
      <c r="D53" s="453">
        <v>1732</v>
      </c>
      <c r="F53" s="386" t="s">
        <v>535</v>
      </c>
    </row>
    <row r="54" spans="1:6" x14ac:dyDescent="0.25">
      <c r="A54" s="380" t="s">
        <v>370</v>
      </c>
      <c r="B54" s="381" t="s">
        <v>198</v>
      </c>
      <c r="C54" s="452">
        <v>1601</v>
      </c>
      <c r="D54" s="453">
        <v>1732</v>
      </c>
      <c r="F54" s="386" t="s">
        <v>544</v>
      </c>
    </row>
    <row r="55" spans="1:6" x14ac:dyDescent="0.25">
      <c r="A55" s="380" t="s">
        <v>371</v>
      </c>
      <c r="B55" s="381" t="s">
        <v>198</v>
      </c>
      <c r="C55" s="452">
        <v>1601</v>
      </c>
      <c r="D55" s="453">
        <v>1732</v>
      </c>
      <c r="F55" s="386" t="s">
        <v>536</v>
      </c>
    </row>
    <row r="56" spans="1:6" x14ac:dyDescent="0.25">
      <c r="A56" s="380" t="s">
        <v>372</v>
      </c>
      <c r="B56" s="381" t="s">
        <v>198</v>
      </c>
      <c r="C56" s="452">
        <v>1601</v>
      </c>
      <c r="D56" s="453">
        <v>1732</v>
      </c>
      <c r="F56" s="386" t="s">
        <v>538</v>
      </c>
    </row>
    <row r="57" spans="1:6" x14ac:dyDescent="0.25">
      <c r="A57" s="380" t="s">
        <v>373</v>
      </c>
      <c r="B57" s="381" t="s">
        <v>198</v>
      </c>
      <c r="C57" s="452">
        <v>1601</v>
      </c>
      <c r="D57" s="453">
        <v>1732</v>
      </c>
      <c r="F57" s="386" t="s">
        <v>537</v>
      </c>
    </row>
    <row r="58" spans="1:6" ht="15.75" thickBot="1" x14ac:dyDescent="0.3">
      <c r="A58" s="380" t="s">
        <v>374</v>
      </c>
      <c r="B58" s="381" t="s">
        <v>198</v>
      </c>
      <c r="C58" s="452">
        <v>1601</v>
      </c>
      <c r="D58" s="453">
        <v>1732</v>
      </c>
      <c r="F58" s="388" t="s">
        <v>539</v>
      </c>
    </row>
    <row r="59" spans="1:6" x14ac:dyDescent="0.25">
      <c r="A59" s="380" t="s">
        <v>375</v>
      </c>
      <c r="B59" s="381" t="s">
        <v>198</v>
      </c>
      <c r="C59" s="452">
        <v>1601</v>
      </c>
      <c r="D59" s="453">
        <v>1732</v>
      </c>
    </row>
    <row r="60" spans="1:6" x14ac:dyDescent="0.25">
      <c r="A60" s="380" t="s">
        <v>376</v>
      </c>
      <c r="B60" s="381" t="s">
        <v>198</v>
      </c>
      <c r="C60" s="452">
        <v>1601</v>
      </c>
      <c r="D60" s="453">
        <v>1732</v>
      </c>
    </row>
    <row r="61" spans="1:6" x14ac:dyDescent="0.25">
      <c r="A61" s="380" t="s">
        <v>377</v>
      </c>
      <c r="B61" s="381" t="s">
        <v>198</v>
      </c>
      <c r="C61" s="452">
        <v>1601</v>
      </c>
      <c r="D61" s="453">
        <v>1732</v>
      </c>
    </row>
    <row r="62" spans="1:6" x14ac:dyDescent="0.25">
      <c r="A62" s="380" t="s">
        <v>378</v>
      </c>
      <c r="B62" s="381" t="s">
        <v>198</v>
      </c>
      <c r="C62" s="452">
        <v>1601</v>
      </c>
      <c r="D62" s="453">
        <v>1732</v>
      </c>
    </row>
    <row r="63" spans="1:6" x14ac:dyDescent="0.25">
      <c r="A63" s="380" t="s">
        <v>379</v>
      </c>
      <c r="B63" s="381" t="s">
        <v>198</v>
      </c>
      <c r="C63" s="452">
        <v>1601</v>
      </c>
      <c r="D63" s="453">
        <v>1732</v>
      </c>
    </row>
    <row r="64" spans="1:6" x14ac:dyDescent="0.25">
      <c r="A64" s="380" t="s">
        <v>380</v>
      </c>
      <c r="B64" s="381" t="s">
        <v>198</v>
      </c>
      <c r="C64" s="452">
        <v>1601</v>
      </c>
      <c r="D64" s="453">
        <v>1732</v>
      </c>
    </row>
    <row r="65" spans="1:11" x14ac:dyDescent="0.25">
      <c r="A65" s="380" t="s">
        <v>381</v>
      </c>
      <c r="B65" s="381" t="s">
        <v>198</v>
      </c>
      <c r="C65" s="452">
        <v>1601</v>
      </c>
      <c r="D65" s="453">
        <v>1732</v>
      </c>
    </row>
    <row r="66" spans="1:11" x14ac:dyDescent="0.25">
      <c r="A66" s="380" t="s">
        <v>382</v>
      </c>
      <c r="B66" s="381" t="s">
        <v>198</v>
      </c>
      <c r="C66" s="452">
        <v>1601</v>
      </c>
      <c r="D66" s="453">
        <v>1732</v>
      </c>
      <c r="J66" s="326" t="s">
        <v>121</v>
      </c>
      <c r="K66" s="326" t="s">
        <v>122</v>
      </c>
    </row>
    <row r="67" spans="1:11" ht="15.75" x14ac:dyDescent="0.25">
      <c r="A67" s="380" t="s">
        <v>383</v>
      </c>
      <c r="B67" s="381" t="s">
        <v>198</v>
      </c>
      <c r="C67" s="452">
        <v>1601</v>
      </c>
      <c r="D67" s="453">
        <v>1732</v>
      </c>
      <c r="J67" s="261" t="s">
        <v>123</v>
      </c>
      <c r="K67" s="263">
        <v>1</v>
      </c>
    </row>
    <row r="68" spans="1:11" ht="15.75" x14ac:dyDescent="0.25">
      <c r="A68" s="380" t="s">
        <v>384</v>
      </c>
      <c r="B68" s="381" t="s">
        <v>198</v>
      </c>
      <c r="C68" s="452">
        <v>1601</v>
      </c>
      <c r="D68" s="453">
        <v>1732</v>
      </c>
      <c r="J68" s="261" t="s">
        <v>116</v>
      </c>
      <c r="K68" s="264" t="s">
        <v>119</v>
      </c>
    </row>
    <row r="69" spans="1:11" ht="15.75" x14ac:dyDescent="0.25">
      <c r="A69" s="380" t="s">
        <v>385</v>
      </c>
      <c r="B69" s="381" t="s">
        <v>198</v>
      </c>
      <c r="C69" s="452">
        <v>1601</v>
      </c>
      <c r="D69" s="453">
        <v>1732</v>
      </c>
      <c r="J69" s="261" t="s">
        <v>117</v>
      </c>
      <c r="K69" s="263" t="s">
        <v>120</v>
      </c>
    </row>
    <row r="70" spans="1:11" ht="15.75" thickBot="1" x14ac:dyDescent="0.3">
      <c r="A70" s="380" t="s">
        <v>386</v>
      </c>
      <c r="B70" s="381" t="s">
        <v>198</v>
      </c>
      <c r="C70" s="452">
        <v>1601</v>
      </c>
      <c r="D70" s="453">
        <v>1732</v>
      </c>
      <c r="J70" s="289"/>
      <c r="K70" s="289"/>
    </row>
    <row r="71" spans="1:11" ht="16.5" thickTop="1" thickBot="1" x14ac:dyDescent="0.3">
      <c r="A71" s="380" t="s">
        <v>387</v>
      </c>
      <c r="B71" s="381" t="s">
        <v>198</v>
      </c>
      <c r="C71" s="452">
        <v>1601</v>
      </c>
      <c r="D71" s="453">
        <v>1732</v>
      </c>
      <c r="J71" s="289" t="s">
        <v>578</v>
      </c>
      <c r="K71" s="298" t="str">
        <f ca="1">IF(INFO("system")="mac",CHAR(13),CHAR(10))</f>
        <v xml:space="preserve">
</v>
      </c>
    </row>
    <row r="72" spans="1:11" ht="15.75" thickTop="1" x14ac:dyDescent="0.25">
      <c r="A72" s="380" t="s">
        <v>388</v>
      </c>
      <c r="B72" s="381" t="s">
        <v>198</v>
      </c>
      <c r="C72" s="452">
        <v>1601</v>
      </c>
      <c r="D72" s="453">
        <v>1732</v>
      </c>
      <c r="J72" s="289"/>
      <c r="K72" s="289"/>
    </row>
    <row r="73" spans="1:11" x14ac:dyDescent="0.25">
      <c r="A73" s="380" t="s">
        <v>389</v>
      </c>
      <c r="B73" s="381" t="s">
        <v>198</v>
      </c>
      <c r="C73" s="452">
        <v>1601</v>
      </c>
      <c r="D73" s="453">
        <v>1732</v>
      </c>
    </row>
    <row r="74" spans="1:11" x14ac:dyDescent="0.25">
      <c r="A74" s="380" t="s">
        <v>390</v>
      </c>
      <c r="B74" s="381" t="s">
        <v>198</v>
      </c>
      <c r="C74" s="452">
        <v>1601</v>
      </c>
      <c r="D74" s="453">
        <v>1732</v>
      </c>
    </row>
    <row r="75" spans="1:11" x14ac:dyDescent="0.25">
      <c r="A75" s="380" t="s">
        <v>391</v>
      </c>
      <c r="B75" s="381" t="s">
        <v>198</v>
      </c>
      <c r="C75" s="452">
        <v>1601</v>
      </c>
      <c r="D75" s="453">
        <v>1732</v>
      </c>
    </row>
    <row r="76" spans="1:11" x14ac:dyDescent="0.25">
      <c r="A76" s="380" t="s">
        <v>392</v>
      </c>
      <c r="B76" s="381" t="s">
        <v>198</v>
      </c>
      <c r="C76" s="452">
        <v>1601</v>
      </c>
      <c r="D76" s="453">
        <v>1732</v>
      </c>
    </row>
    <row r="77" spans="1:11" x14ac:dyDescent="0.25">
      <c r="A77" s="380" t="s">
        <v>393</v>
      </c>
      <c r="B77" s="381" t="s">
        <v>198</v>
      </c>
      <c r="C77" s="452">
        <v>1601</v>
      </c>
      <c r="D77" s="453">
        <v>1732</v>
      </c>
    </row>
    <row r="78" spans="1:11" x14ac:dyDescent="0.25">
      <c r="A78" s="380" t="s">
        <v>394</v>
      </c>
      <c r="B78" s="381" t="s">
        <v>198</v>
      </c>
      <c r="C78" s="452">
        <v>1601</v>
      </c>
      <c r="D78" s="453">
        <v>1732</v>
      </c>
    </row>
    <row r="79" spans="1:11" x14ac:dyDescent="0.25">
      <c r="A79" s="380" t="s">
        <v>395</v>
      </c>
      <c r="B79" s="381" t="s">
        <v>198</v>
      </c>
      <c r="C79" s="452">
        <v>1601</v>
      </c>
      <c r="D79" s="453">
        <v>1732</v>
      </c>
    </row>
    <row r="80" spans="1:11" x14ac:dyDescent="0.25">
      <c r="A80" s="380" t="s">
        <v>396</v>
      </c>
      <c r="B80" s="381" t="s">
        <v>198</v>
      </c>
      <c r="C80" s="452">
        <v>1601</v>
      </c>
      <c r="D80" s="453">
        <v>1732</v>
      </c>
    </row>
    <row r="81" spans="1:4" x14ac:dyDescent="0.25">
      <c r="A81" s="380" t="s">
        <v>397</v>
      </c>
      <c r="B81" s="381" t="s">
        <v>198</v>
      </c>
      <c r="C81" s="452">
        <v>1601</v>
      </c>
      <c r="D81" s="453">
        <v>1732</v>
      </c>
    </row>
    <row r="82" spans="1:4" x14ac:dyDescent="0.25">
      <c r="A82" s="380" t="s">
        <v>398</v>
      </c>
      <c r="B82" s="381" t="s">
        <v>198</v>
      </c>
      <c r="C82" s="452">
        <v>1601</v>
      </c>
      <c r="D82" s="453">
        <v>1732</v>
      </c>
    </row>
    <row r="83" spans="1:4" x14ac:dyDescent="0.25">
      <c r="A83" s="380" t="s">
        <v>399</v>
      </c>
      <c r="B83" s="381" t="s">
        <v>198</v>
      </c>
      <c r="C83" s="452">
        <v>1601</v>
      </c>
      <c r="D83" s="453">
        <v>1732</v>
      </c>
    </row>
    <row r="84" spans="1:4" x14ac:dyDescent="0.25">
      <c r="A84" s="380" t="s">
        <v>400</v>
      </c>
      <c r="B84" s="381" t="s">
        <v>198</v>
      </c>
      <c r="C84" s="452">
        <v>1601</v>
      </c>
      <c r="D84" s="453">
        <v>1732</v>
      </c>
    </row>
    <row r="85" spans="1:4" x14ac:dyDescent="0.25">
      <c r="A85" s="380" t="s">
        <v>401</v>
      </c>
      <c r="B85" s="381" t="s">
        <v>198</v>
      </c>
      <c r="C85" s="452">
        <v>1601</v>
      </c>
      <c r="D85" s="453">
        <v>1732</v>
      </c>
    </row>
    <row r="86" spans="1:4" x14ac:dyDescent="0.25">
      <c r="A86" s="380" t="s">
        <v>402</v>
      </c>
      <c r="B86" s="381" t="s">
        <v>198</v>
      </c>
      <c r="C86" s="452">
        <v>1601</v>
      </c>
      <c r="D86" s="453">
        <v>1732</v>
      </c>
    </row>
    <row r="87" spans="1:4" x14ac:dyDescent="0.25">
      <c r="A87" s="380" t="s">
        <v>403</v>
      </c>
      <c r="B87" s="381" t="s">
        <v>198</v>
      </c>
      <c r="C87" s="452">
        <v>1601</v>
      </c>
      <c r="D87" s="453">
        <v>1732</v>
      </c>
    </row>
    <row r="88" spans="1:4" x14ac:dyDescent="0.25">
      <c r="A88" s="380" t="s">
        <v>404</v>
      </c>
      <c r="B88" s="381" t="s">
        <v>198</v>
      </c>
      <c r="C88" s="452">
        <v>1601</v>
      </c>
      <c r="D88" s="453">
        <v>1732</v>
      </c>
    </row>
    <row r="89" spans="1:4" x14ac:dyDescent="0.25">
      <c r="A89" s="380" t="s">
        <v>405</v>
      </c>
      <c r="B89" s="381" t="s">
        <v>198</v>
      </c>
      <c r="C89" s="452">
        <v>1601</v>
      </c>
      <c r="D89" s="453">
        <v>1732</v>
      </c>
    </row>
    <row r="90" spans="1:4" x14ac:dyDescent="0.25">
      <c r="A90" s="380" t="s">
        <v>406</v>
      </c>
      <c r="B90" s="381" t="s">
        <v>198</v>
      </c>
      <c r="C90" s="452">
        <v>1601</v>
      </c>
      <c r="D90" s="453">
        <v>1732</v>
      </c>
    </row>
    <row r="91" spans="1:4" x14ac:dyDescent="0.25">
      <c r="A91" s="380" t="s">
        <v>407</v>
      </c>
      <c r="B91" s="381" t="s">
        <v>198</v>
      </c>
      <c r="C91" s="452">
        <v>1601</v>
      </c>
      <c r="D91" s="453">
        <v>1732</v>
      </c>
    </row>
    <row r="92" spans="1:4" x14ac:dyDescent="0.25">
      <c r="A92" s="380" t="s">
        <v>408</v>
      </c>
      <c r="B92" s="381" t="s">
        <v>198</v>
      </c>
      <c r="C92" s="452">
        <v>1601</v>
      </c>
      <c r="D92" s="453">
        <v>1732</v>
      </c>
    </row>
    <row r="93" spans="1:4" x14ac:dyDescent="0.25">
      <c r="A93" s="380" t="s">
        <v>409</v>
      </c>
      <c r="B93" s="381" t="s">
        <v>198</v>
      </c>
      <c r="C93" s="452">
        <v>1601</v>
      </c>
      <c r="D93" s="453">
        <v>1732</v>
      </c>
    </row>
    <row r="94" spans="1:4" x14ac:dyDescent="0.25">
      <c r="A94" s="380" t="s">
        <v>410</v>
      </c>
      <c r="B94" s="381" t="s">
        <v>198</v>
      </c>
      <c r="C94" s="452">
        <v>1601</v>
      </c>
      <c r="D94" s="453">
        <v>1732</v>
      </c>
    </row>
    <row r="95" spans="1:4" x14ac:dyDescent="0.25">
      <c r="A95" s="380" t="s">
        <v>411</v>
      </c>
      <c r="B95" s="381" t="s">
        <v>198</v>
      </c>
      <c r="C95" s="452">
        <v>1601</v>
      </c>
      <c r="D95" s="453">
        <v>1732</v>
      </c>
    </row>
    <row r="96" spans="1:4" x14ac:dyDescent="0.25">
      <c r="A96" s="380" t="s">
        <v>412</v>
      </c>
      <c r="B96" s="381" t="s">
        <v>198</v>
      </c>
      <c r="C96" s="452">
        <v>1601</v>
      </c>
      <c r="D96" s="453">
        <v>1732</v>
      </c>
    </row>
    <row r="97" spans="1:4" x14ac:dyDescent="0.25">
      <c r="A97" s="380" t="s">
        <v>413</v>
      </c>
      <c r="B97" s="381" t="s">
        <v>198</v>
      </c>
      <c r="C97" s="452">
        <v>1601</v>
      </c>
      <c r="D97" s="453">
        <v>1732</v>
      </c>
    </row>
    <row r="98" spans="1:4" x14ac:dyDescent="0.25">
      <c r="A98" s="380" t="s">
        <v>414</v>
      </c>
      <c r="B98" s="381" t="s">
        <v>198</v>
      </c>
      <c r="C98" s="452">
        <v>1601</v>
      </c>
      <c r="D98" s="453">
        <v>1732</v>
      </c>
    </row>
    <row r="99" spans="1:4" x14ac:dyDescent="0.25">
      <c r="A99" s="380" t="s">
        <v>415</v>
      </c>
      <c r="B99" s="381" t="s">
        <v>198</v>
      </c>
      <c r="C99" s="452">
        <v>1601</v>
      </c>
      <c r="D99" s="453">
        <v>1732</v>
      </c>
    </row>
    <row r="100" spans="1:4" x14ac:dyDescent="0.25">
      <c r="A100" s="380" t="s">
        <v>416</v>
      </c>
      <c r="B100" s="381" t="s">
        <v>198</v>
      </c>
      <c r="C100" s="452">
        <v>1601</v>
      </c>
      <c r="D100" s="453">
        <v>1732</v>
      </c>
    </row>
    <row r="101" spans="1:4" x14ac:dyDescent="0.25">
      <c r="A101" s="380" t="s">
        <v>417</v>
      </c>
      <c r="B101" s="381" t="s">
        <v>198</v>
      </c>
      <c r="C101" s="452">
        <v>1601</v>
      </c>
      <c r="D101" s="453">
        <v>1732</v>
      </c>
    </row>
    <row r="102" spans="1:4" x14ac:dyDescent="0.25">
      <c r="A102" s="380" t="s">
        <v>418</v>
      </c>
      <c r="B102" s="381" t="s">
        <v>198</v>
      </c>
      <c r="C102" s="452">
        <v>1601</v>
      </c>
      <c r="D102" s="453">
        <v>1732</v>
      </c>
    </row>
    <row r="103" spans="1:4" x14ac:dyDescent="0.25">
      <c r="A103" s="380" t="s">
        <v>419</v>
      </c>
      <c r="B103" s="381" t="s">
        <v>198</v>
      </c>
      <c r="C103" s="452">
        <v>1601</v>
      </c>
      <c r="D103" s="453">
        <v>1732</v>
      </c>
    </row>
    <row r="104" spans="1:4" x14ac:dyDescent="0.25">
      <c r="A104" s="380" t="s">
        <v>420</v>
      </c>
      <c r="B104" s="381" t="s">
        <v>198</v>
      </c>
      <c r="C104" s="452">
        <v>1601</v>
      </c>
      <c r="D104" s="453">
        <v>1732</v>
      </c>
    </row>
    <row r="105" spans="1:4" x14ac:dyDescent="0.25">
      <c r="A105" s="380" t="s">
        <v>421</v>
      </c>
      <c r="B105" s="381" t="s">
        <v>198</v>
      </c>
      <c r="C105" s="452">
        <v>1601</v>
      </c>
      <c r="D105" s="453">
        <v>1732</v>
      </c>
    </row>
    <row r="106" spans="1:4" x14ac:dyDescent="0.25">
      <c r="A106" s="380" t="s">
        <v>422</v>
      </c>
      <c r="B106" s="381" t="s">
        <v>198</v>
      </c>
      <c r="C106" s="452">
        <v>1601</v>
      </c>
      <c r="D106" s="453">
        <v>1732</v>
      </c>
    </row>
    <row r="107" spans="1:4" x14ac:dyDescent="0.25">
      <c r="A107" s="380" t="s">
        <v>423</v>
      </c>
      <c r="B107" s="381" t="s">
        <v>198</v>
      </c>
      <c r="C107" s="452">
        <v>1601</v>
      </c>
      <c r="D107" s="453">
        <v>1732</v>
      </c>
    </row>
    <row r="108" spans="1:4" x14ac:dyDescent="0.25">
      <c r="A108" s="380" t="s">
        <v>424</v>
      </c>
      <c r="B108" s="381" t="s">
        <v>198</v>
      </c>
      <c r="C108" s="452">
        <v>1601</v>
      </c>
      <c r="D108" s="453">
        <v>1732</v>
      </c>
    </row>
    <row r="109" spans="1:4" x14ac:dyDescent="0.25">
      <c r="A109" s="380" t="s">
        <v>425</v>
      </c>
      <c r="B109" s="381" t="s">
        <v>198</v>
      </c>
      <c r="C109" s="452">
        <v>1601</v>
      </c>
      <c r="D109" s="453">
        <v>1732</v>
      </c>
    </row>
    <row r="110" spans="1:4" x14ac:dyDescent="0.25">
      <c r="A110" s="380" t="s">
        <v>426</v>
      </c>
      <c r="B110" s="381" t="s">
        <v>198</v>
      </c>
      <c r="C110" s="452">
        <v>1601</v>
      </c>
      <c r="D110" s="453">
        <v>1732</v>
      </c>
    </row>
    <row r="111" spans="1:4" x14ac:dyDescent="0.25">
      <c r="A111" s="380" t="s">
        <v>427</v>
      </c>
      <c r="B111" s="381" t="s">
        <v>198</v>
      </c>
      <c r="C111" s="452">
        <v>1601</v>
      </c>
      <c r="D111" s="453">
        <v>1732</v>
      </c>
    </row>
    <row r="112" spans="1:4" x14ac:dyDescent="0.25">
      <c r="A112" s="380" t="s">
        <v>428</v>
      </c>
      <c r="B112" s="381" t="s">
        <v>198</v>
      </c>
      <c r="C112" s="452">
        <v>1601</v>
      </c>
      <c r="D112" s="453">
        <v>1732</v>
      </c>
    </row>
    <row r="113" spans="1:4" x14ac:dyDescent="0.25">
      <c r="A113" s="380" t="s">
        <v>429</v>
      </c>
      <c r="B113" s="381" t="s">
        <v>198</v>
      </c>
      <c r="C113" s="452">
        <v>1601</v>
      </c>
      <c r="D113" s="453">
        <v>1732</v>
      </c>
    </row>
    <row r="114" spans="1:4" x14ac:dyDescent="0.25">
      <c r="A114" s="380" t="s">
        <v>430</v>
      </c>
      <c r="B114" s="381" t="s">
        <v>198</v>
      </c>
      <c r="C114" s="452">
        <v>1601</v>
      </c>
      <c r="D114" s="453">
        <v>1732</v>
      </c>
    </row>
    <row r="115" spans="1:4" x14ac:dyDescent="0.25">
      <c r="A115" s="380" t="s">
        <v>431</v>
      </c>
      <c r="B115" s="381" t="s">
        <v>198</v>
      </c>
      <c r="C115" s="452">
        <v>1601</v>
      </c>
      <c r="D115" s="453">
        <v>1732</v>
      </c>
    </row>
    <row r="116" spans="1:4" x14ac:dyDescent="0.25">
      <c r="A116" s="380" t="s">
        <v>432</v>
      </c>
      <c r="B116" s="381" t="s">
        <v>198</v>
      </c>
      <c r="C116" s="452">
        <v>1601</v>
      </c>
      <c r="D116" s="453">
        <v>1732</v>
      </c>
    </row>
    <row r="117" spans="1:4" x14ac:dyDescent="0.25">
      <c r="A117" s="380" t="s">
        <v>433</v>
      </c>
      <c r="B117" s="381" t="s">
        <v>198</v>
      </c>
      <c r="C117" s="452">
        <v>1601</v>
      </c>
      <c r="D117" s="453">
        <v>1732</v>
      </c>
    </row>
    <row r="118" spans="1:4" x14ac:dyDescent="0.25">
      <c r="A118" s="380" t="s">
        <v>434</v>
      </c>
      <c r="B118" s="381" t="s">
        <v>198</v>
      </c>
      <c r="C118" s="452">
        <v>1601</v>
      </c>
      <c r="D118" s="453">
        <v>1732</v>
      </c>
    </row>
    <row r="119" spans="1:4" x14ac:dyDescent="0.25">
      <c r="A119" s="380" t="s">
        <v>435</v>
      </c>
      <c r="B119" s="381" t="s">
        <v>198</v>
      </c>
      <c r="C119" s="452">
        <v>1601</v>
      </c>
      <c r="D119" s="453">
        <v>1732</v>
      </c>
    </row>
    <row r="120" spans="1:4" x14ac:dyDescent="0.25">
      <c r="A120" s="380" t="s">
        <v>436</v>
      </c>
      <c r="B120" s="381" t="s">
        <v>198</v>
      </c>
      <c r="C120" s="452">
        <v>1601</v>
      </c>
      <c r="D120" s="453">
        <v>1732</v>
      </c>
    </row>
    <row r="121" spans="1:4" x14ac:dyDescent="0.25">
      <c r="A121" s="380" t="s">
        <v>437</v>
      </c>
      <c r="B121" s="381" t="s">
        <v>198</v>
      </c>
      <c r="C121" s="452">
        <v>1601</v>
      </c>
      <c r="D121" s="453">
        <v>1732</v>
      </c>
    </row>
    <row r="122" spans="1:4" x14ac:dyDescent="0.25">
      <c r="A122" s="380" t="s">
        <v>438</v>
      </c>
      <c r="B122" s="381" t="s">
        <v>198</v>
      </c>
      <c r="C122" s="452">
        <v>1601</v>
      </c>
      <c r="D122" s="453">
        <v>1732</v>
      </c>
    </row>
    <row r="123" spans="1:4" x14ac:dyDescent="0.25">
      <c r="A123" s="380" t="s">
        <v>439</v>
      </c>
      <c r="B123" s="381" t="s">
        <v>198</v>
      </c>
      <c r="C123" s="452">
        <v>1601</v>
      </c>
      <c r="D123" s="453">
        <v>1732</v>
      </c>
    </row>
    <row r="124" spans="1:4" x14ac:dyDescent="0.25">
      <c r="A124" s="380" t="s">
        <v>440</v>
      </c>
      <c r="B124" s="381" t="s">
        <v>198</v>
      </c>
      <c r="C124" s="452">
        <v>1601</v>
      </c>
      <c r="D124" s="453">
        <v>1732</v>
      </c>
    </row>
    <row r="125" spans="1:4" x14ac:dyDescent="0.25">
      <c r="A125" s="380" t="s">
        <v>441</v>
      </c>
      <c r="B125" s="381" t="s">
        <v>198</v>
      </c>
      <c r="C125" s="452">
        <v>1601</v>
      </c>
      <c r="D125" s="453">
        <v>1732</v>
      </c>
    </row>
    <row r="126" spans="1:4" x14ac:dyDescent="0.25">
      <c r="A126" s="380" t="s">
        <v>442</v>
      </c>
      <c r="B126" s="381" t="s">
        <v>198</v>
      </c>
      <c r="C126" s="452">
        <v>1601</v>
      </c>
      <c r="D126" s="453">
        <v>1732</v>
      </c>
    </row>
    <row r="127" spans="1:4" x14ac:dyDescent="0.25">
      <c r="A127" s="380" t="s">
        <v>443</v>
      </c>
      <c r="B127" s="381" t="s">
        <v>198</v>
      </c>
      <c r="C127" s="452">
        <v>1601</v>
      </c>
      <c r="D127" s="453">
        <v>1732</v>
      </c>
    </row>
    <row r="128" spans="1:4" x14ac:dyDescent="0.25">
      <c r="A128" s="380" t="s">
        <v>444</v>
      </c>
      <c r="B128" s="381" t="s">
        <v>198</v>
      </c>
      <c r="C128" s="452">
        <v>1601</v>
      </c>
      <c r="D128" s="453">
        <v>1732</v>
      </c>
    </row>
    <row r="129" spans="1:4" x14ac:dyDescent="0.25">
      <c r="A129" s="380" t="s">
        <v>445</v>
      </c>
      <c r="B129" s="381" t="s">
        <v>198</v>
      </c>
      <c r="C129" s="452">
        <v>1601</v>
      </c>
      <c r="D129" s="453">
        <v>1732</v>
      </c>
    </row>
    <row r="130" spans="1:4" x14ac:dyDescent="0.25">
      <c r="A130" s="380" t="s">
        <v>446</v>
      </c>
      <c r="B130" s="381" t="s">
        <v>198</v>
      </c>
      <c r="C130" s="452">
        <v>1601</v>
      </c>
      <c r="D130" s="453">
        <v>1732</v>
      </c>
    </row>
    <row r="131" spans="1:4" x14ac:dyDescent="0.25">
      <c r="A131" s="380" t="s">
        <v>447</v>
      </c>
      <c r="B131" s="381" t="s">
        <v>198</v>
      </c>
      <c r="C131" s="452">
        <v>1601</v>
      </c>
      <c r="D131" s="453">
        <v>1732</v>
      </c>
    </row>
    <row r="132" spans="1:4" x14ac:dyDescent="0.25">
      <c r="A132" s="380" t="s">
        <v>448</v>
      </c>
      <c r="B132" s="381" t="s">
        <v>198</v>
      </c>
      <c r="C132" s="452">
        <v>1601</v>
      </c>
      <c r="D132" s="453">
        <v>1732</v>
      </c>
    </row>
    <row r="133" spans="1:4" x14ac:dyDescent="0.25">
      <c r="A133" s="380" t="s">
        <v>449</v>
      </c>
      <c r="B133" s="381" t="s">
        <v>198</v>
      </c>
      <c r="C133" s="452">
        <v>1601</v>
      </c>
      <c r="D133" s="453">
        <v>1732</v>
      </c>
    </row>
    <row r="134" spans="1:4" x14ac:dyDescent="0.25">
      <c r="A134" s="380" t="s">
        <v>450</v>
      </c>
      <c r="B134" s="381" t="s">
        <v>198</v>
      </c>
      <c r="C134" s="452">
        <v>1601</v>
      </c>
      <c r="D134" s="453">
        <v>1732</v>
      </c>
    </row>
    <row r="135" spans="1:4" x14ac:dyDescent="0.25">
      <c r="A135" s="380" t="s">
        <v>451</v>
      </c>
      <c r="B135" s="381" t="s">
        <v>198</v>
      </c>
      <c r="C135" s="452">
        <v>1601</v>
      </c>
      <c r="D135" s="453">
        <v>1732</v>
      </c>
    </row>
    <row r="136" spans="1:4" x14ac:dyDescent="0.25">
      <c r="A136" s="380" t="s">
        <v>452</v>
      </c>
      <c r="B136" s="381" t="s">
        <v>198</v>
      </c>
      <c r="C136" s="452">
        <v>1601</v>
      </c>
      <c r="D136" s="453">
        <v>1732</v>
      </c>
    </row>
    <row r="137" spans="1:4" x14ac:dyDescent="0.25">
      <c r="A137" s="380" t="s">
        <v>453</v>
      </c>
      <c r="B137" s="381" t="s">
        <v>198</v>
      </c>
      <c r="C137" s="452">
        <v>1601</v>
      </c>
      <c r="D137" s="453">
        <v>1732</v>
      </c>
    </row>
    <row r="138" spans="1:4" x14ac:dyDescent="0.25">
      <c r="A138" s="380" t="s">
        <v>454</v>
      </c>
      <c r="B138" s="381" t="s">
        <v>198</v>
      </c>
      <c r="C138" s="452">
        <v>1601</v>
      </c>
      <c r="D138" s="453">
        <v>1732</v>
      </c>
    </row>
    <row r="139" spans="1:4" x14ac:dyDescent="0.25">
      <c r="A139" s="380" t="s">
        <v>455</v>
      </c>
      <c r="B139" s="381" t="s">
        <v>198</v>
      </c>
      <c r="C139" s="452">
        <v>1601</v>
      </c>
      <c r="D139" s="453">
        <v>1732</v>
      </c>
    </row>
    <row r="140" spans="1:4" x14ac:dyDescent="0.25">
      <c r="A140" s="380" t="s">
        <v>456</v>
      </c>
      <c r="B140" s="381" t="s">
        <v>198</v>
      </c>
      <c r="C140" s="452">
        <v>1601</v>
      </c>
      <c r="D140" s="453">
        <v>1732</v>
      </c>
    </row>
    <row r="141" spans="1:4" x14ac:dyDescent="0.25">
      <c r="A141" s="380" t="s">
        <v>457</v>
      </c>
      <c r="B141" s="381" t="s">
        <v>198</v>
      </c>
      <c r="C141" s="452">
        <v>1601</v>
      </c>
      <c r="D141" s="453">
        <v>1732</v>
      </c>
    </row>
    <row r="142" spans="1:4" x14ac:dyDescent="0.25">
      <c r="A142" s="380" t="s">
        <v>458</v>
      </c>
      <c r="B142" s="381" t="s">
        <v>198</v>
      </c>
      <c r="C142" s="452">
        <v>1601</v>
      </c>
      <c r="D142" s="453">
        <v>1732</v>
      </c>
    </row>
    <row r="143" spans="1:4" x14ac:dyDescent="0.25">
      <c r="A143" s="380" t="s">
        <v>459</v>
      </c>
      <c r="B143" s="381" t="s">
        <v>198</v>
      </c>
      <c r="C143" s="452">
        <v>1601</v>
      </c>
      <c r="D143" s="453">
        <v>1732</v>
      </c>
    </row>
    <row r="144" spans="1:4" x14ac:dyDescent="0.25">
      <c r="A144" s="380" t="s">
        <v>460</v>
      </c>
      <c r="B144" s="381" t="s">
        <v>198</v>
      </c>
      <c r="C144" s="452">
        <v>1601</v>
      </c>
      <c r="D144" s="453">
        <v>1732</v>
      </c>
    </row>
    <row r="145" spans="1:4" x14ac:dyDescent="0.25">
      <c r="A145" s="380" t="s">
        <v>461</v>
      </c>
      <c r="B145" s="381" t="s">
        <v>198</v>
      </c>
      <c r="C145" s="452">
        <v>1601</v>
      </c>
      <c r="D145" s="453">
        <v>1732</v>
      </c>
    </row>
    <row r="146" spans="1:4" x14ac:dyDescent="0.25">
      <c r="A146" s="380" t="s">
        <v>462</v>
      </c>
      <c r="B146" s="381" t="s">
        <v>198</v>
      </c>
      <c r="C146" s="452">
        <v>1601</v>
      </c>
      <c r="D146" s="453">
        <v>1732</v>
      </c>
    </row>
    <row r="147" spans="1:4" x14ac:dyDescent="0.25">
      <c r="A147" s="380" t="s">
        <v>463</v>
      </c>
      <c r="B147" s="381" t="s">
        <v>198</v>
      </c>
      <c r="C147" s="452">
        <v>1601</v>
      </c>
      <c r="D147" s="453">
        <v>1732</v>
      </c>
    </row>
    <row r="148" spans="1:4" x14ac:dyDescent="0.25">
      <c r="A148" s="380" t="s">
        <v>464</v>
      </c>
      <c r="B148" s="381" t="s">
        <v>198</v>
      </c>
      <c r="C148" s="452">
        <v>1601</v>
      </c>
      <c r="D148" s="453">
        <v>1732</v>
      </c>
    </row>
    <row r="149" spans="1:4" x14ac:dyDescent="0.25">
      <c r="A149" s="380" t="s">
        <v>465</v>
      </c>
      <c r="B149" s="381" t="s">
        <v>198</v>
      </c>
      <c r="C149" s="452">
        <v>1601</v>
      </c>
      <c r="D149" s="453">
        <v>1732</v>
      </c>
    </row>
    <row r="150" spans="1:4" x14ac:dyDescent="0.25">
      <c r="A150" s="380" t="s">
        <v>466</v>
      </c>
      <c r="B150" s="381" t="s">
        <v>198</v>
      </c>
      <c r="C150" s="452">
        <v>1601</v>
      </c>
      <c r="D150" s="453">
        <v>1732</v>
      </c>
    </row>
    <row r="151" spans="1:4" x14ac:dyDescent="0.25">
      <c r="A151" s="380" t="s">
        <v>467</v>
      </c>
      <c r="B151" s="381" t="s">
        <v>198</v>
      </c>
      <c r="C151" s="452">
        <v>1601</v>
      </c>
      <c r="D151" s="453">
        <v>1732</v>
      </c>
    </row>
    <row r="152" spans="1:4" x14ac:dyDescent="0.25">
      <c r="A152" s="380" t="s">
        <v>468</v>
      </c>
      <c r="B152" s="381" t="s">
        <v>198</v>
      </c>
      <c r="C152" s="452">
        <v>1601</v>
      </c>
      <c r="D152" s="453">
        <v>1732</v>
      </c>
    </row>
    <row r="153" spans="1:4" x14ac:dyDescent="0.25">
      <c r="A153" s="380" t="s">
        <v>469</v>
      </c>
      <c r="B153" s="381" t="s">
        <v>198</v>
      </c>
      <c r="C153" s="452">
        <v>1601</v>
      </c>
      <c r="D153" s="453">
        <v>1732</v>
      </c>
    </row>
    <row r="154" spans="1:4" x14ac:dyDescent="0.25">
      <c r="A154" s="380" t="s">
        <v>470</v>
      </c>
      <c r="B154" s="381" t="s">
        <v>198</v>
      </c>
      <c r="C154" s="452">
        <v>1601</v>
      </c>
      <c r="D154" s="453">
        <v>1732</v>
      </c>
    </row>
    <row r="155" spans="1:4" x14ac:dyDescent="0.25">
      <c r="A155" s="380" t="s">
        <v>471</v>
      </c>
      <c r="B155" s="381" t="s">
        <v>198</v>
      </c>
      <c r="C155" s="452">
        <v>1601</v>
      </c>
      <c r="D155" s="453">
        <v>1732</v>
      </c>
    </row>
    <row r="156" spans="1:4" x14ac:dyDescent="0.25">
      <c r="A156" s="380" t="s">
        <v>472</v>
      </c>
      <c r="B156" s="381" t="s">
        <v>198</v>
      </c>
      <c r="C156" s="452">
        <v>1601</v>
      </c>
      <c r="D156" s="453">
        <v>1732</v>
      </c>
    </row>
    <row r="157" spans="1:4" x14ac:dyDescent="0.25">
      <c r="A157" s="380" t="s">
        <v>473</v>
      </c>
      <c r="B157" s="381" t="s">
        <v>198</v>
      </c>
      <c r="C157" s="452">
        <v>1601</v>
      </c>
      <c r="D157" s="453">
        <v>1732</v>
      </c>
    </row>
    <row r="158" spans="1:4" x14ac:dyDescent="0.25">
      <c r="A158" s="380" t="s">
        <v>474</v>
      </c>
      <c r="B158" s="381" t="s">
        <v>198</v>
      </c>
      <c r="C158" s="452">
        <v>1601</v>
      </c>
      <c r="D158" s="453">
        <v>1732</v>
      </c>
    </row>
    <row r="159" spans="1:4" x14ac:dyDescent="0.25">
      <c r="A159" s="380" t="s">
        <v>475</v>
      </c>
      <c r="B159" s="381" t="s">
        <v>198</v>
      </c>
      <c r="C159" s="452">
        <v>1601</v>
      </c>
      <c r="D159" s="453">
        <v>1732</v>
      </c>
    </row>
    <row r="160" spans="1:4" x14ac:dyDescent="0.25">
      <c r="A160" s="380" t="s">
        <v>476</v>
      </c>
      <c r="B160" s="381" t="s">
        <v>198</v>
      </c>
      <c r="C160" s="452">
        <v>1601</v>
      </c>
      <c r="D160" s="453">
        <v>1732</v>
      </c>
    </row>
    <row r="161" spans="1:4" x14ac:dyDescent="0.25">
      <c r="A161" s="380" t="s">
        <v>477</v>
      </c>
      <c r="B161" s="381" t="s">
        <v>198</v>
      </c>
      <c r="C161" s="452">
        <v>1601</v>
      </c>
      <c r="D161" s="453">
        <v>1732</v>
      </c>
    </row>
    <row r="162" spans="1:4" x14ac:dyDescent="0.25">
      <c r="A162" s="380" t="s">
        <v>478</v>
      </c>
      <c r="B162" s="381" t="s">
        <v>198</v>
      </c>
      <c r="C162" s="452">
        <v>1601</v>
      </c>
      <c r="D162" s="453">
        <v>1732</v>
      </c>
    </row>
    <row r="163" spans="1:4" x14ac:dyDescent="0.25">
      <c r="A163" s="380" t="s">
        <v>479</v>
      </c>
      <c r="B163" s="381" t="s">
        <v>198</v>
      </c>
      <c r="C163" s="452">
        <v>1601</v>
      </c>
      <c r="D163" s="453">
        <v>1732</v>
      </c>
    </row>
    <row r="164" spans="1:4" x14ac:dyDescent="0.25">
      <c r="A164" s="380" t="s">
        <v>480</v>
      </c>
      <c r="B164" s="381" t="s">
        <v>198</v>
      </c>
      <c r="C164" s="452">
        <v>1601</v>
      </c>
      <c r="D164" s="453">
        <v>1732</v>
      </c>
    </row>
    <row r="165" spans="1:4" x14ac:dyDescent="0.25">
      <c r="A165" s="380" t="s">
        <v>481</v>
      </c>
      <c r="B165" s="381" t="s">
        <v>198</v>
      </c>
      <c r="C165" s="452">
        <v>1601</v>
      </c>
      <c r="D165" s="453">
        <v>1732</v>
      </c>
    </row>
    <row r="166" spans="1:4" x14ac:dyDescent="0.25">
      <c r="A166" s="380" t="s">
        <v>482</v>
      </c>
      <c r="B166" s="381" t="s">
        <v>198</v>
      </c>
      <c r="C166" s="452">
        <v>1601</v>
      </c>
      <c r="D166" s="453">
        <v>1732</v>
      </c>
    </row>
    <row r="167" spans="1:4" x14ac:dyDescent="0.25">
      <c r="A167" s="380" t="s">
        <v>483</v>
      </c>
      <c r="B167" s="381" t="s">
        <v>198</v>
      </c>
      <c r="C167" s="452">
        <v>1601</v>
      </c>
      <c r="D167" s="453">
        <v>1732</v>
      </c>
    </row>
    <row r="168" spans="1:4" x14ac:dyDescent="0.25">
      <c r="A168" s="380" t="s">
        <v>484</v>
      </c>
      <c r="B168" s="381" t="s">
        <v>198</v>
      </c>
      <c r="C168" s="452">
        <v>1601</v>
      </c>
      <c r="D168" s="453">
        <v>1732</v>
      </c>
    </row>
    <row r="169" spans="1:4" x14ac:dyDescent="0.25">
      <c r="A169" s="380" t="s">
        <v>485</v>
      </c>
      <c r="B169" s="381" t="s">
        <v>198</v>
      </c>
      <c r="C169" s="452">
        <v>1601</v>
      </c>
      <c r="D169" s="453">
        <v>1732</v>
      </c>
    </row>
    <row r="170" spans="1:4" x14ac:dyDescent="0.25">
      <c r="A170" s="380" t="s">
        <v>486</v>
      </c>
      <c r="B170" s="381" t="s">
        <v>198</v>
      </c>
      <c r="C170" s="452">
        <v>1601</v>
      </c>
      <c r="D170" s="453">
        <v>1732</v>
      </c>
    </row>
    <row r="171" spans="1:4" x14ac:dyDescent="0.25">
      <c r="A171" s="380" t="s">
        <v>137</v>
      </c>
      <c r="B171" s="381" t="s">
        <v>776</v>
      </c>
      <c r="C171" s="452">
        <v>1966</v>
      </c>
      <c r="D171" s="453">
        <v>2136</v>
      </c>
    </row>
    <row r="172" spans="1:4" x14ac:dyDescent="0.25">
      <c r="A172" s="380" t="s">
        <v>139</v>
      </c>
      <c r="B172" s="381" t="s">
        <v>776</v>
      </c>
      <c r="C172" s="452">
        <v>1966</v>
      </c>
      <c r="D172" s="453">
        <v>2136</v>
      </c>
    </row>
    <row r="173" spans="1:4" x14ac:dyDescent="0.25">
      <c r="A173" s="380" t="s">
        <v>140</v>
      </c>
      <c r="B173" s="381" t="s">
        <v>776</v>
      </c>
      <c r="C173" s="452">
        <v>1966</v>
      </c>
      <c r="D173" s="453">
        <v>2136</v>
      </c>
    </row>
    <row r="174" spans="1:4" x14ac:dyDescent="0.25">
      <c r="A174" s="380" t="s">
        <v>143</v>
      </c>
      <c r="B174" s="381" t="s">
        <v>776</v>
      </c>
      <c r="C174" s="452">
        <v>1966</v>
      </c>
      <c r="D174" s="453">
        <v>2136</v>
      </c>
    </row>
    <row r="175" spans="1:4" x14ac:dyDescent="0.25">
      <c r="A175" s="380" t="s">
        <v>145</v>
      </c>
      <c r="B175" s="381" t="s">
        <v>776</v>
      </c>
      <c r="C175" s="452">
        <v>1966</v>
      </c>
      <c r="D175" s="453">
        <v>2136</v>
      </c>
    </row>
    <row r="176" spans="1:4" x14ac:dyDescent="0.25">
      <c r="A176" s="380" t="s">
        <v>146</v>
      </c>
      <c r="B176" s="381" t="s">
        <v>776</v>
      </c>
      <c r="C176" s="452">
        <v>1966</v>
      </c>
      <c r="D176" s="453">
        <v>2136</v>
      </c>
    </row>
    <row r="177" spans="1:4" x14ac:dyDescent="0.25">
      <c r="A177" s="380" t="s">
        <v>148</v>
      </c>
      <c r="B177" s="381" t="s">
        <v>776</v>
      </c>
      <c r="C177" s="452">
        <v>1966</v>
      </c>
      <c r="D177" s="453">
        <v>2136</v>
      </c>
    </row>
    <row r="178" spans="1:4" x14ac:dyDescent="0.25">
      <c r="A178" s="380" t="s">
        <v>151</v>
      </c>
      <c r="B178" s="381" t="s">
        <v>776</v>
      </c>
      <c r="C178" s="452">
        <v>1966</v>
      </c>
      <c r="D178" s="453">
        <v>2136</v>
      </c>
    </row>
    <row r="179" spans="1:4" x14ac:dyDescent="0.25">
      <c r="A179" s="380" t="s">
        <v>152</v>
      </c>
      <c r="B179" s="381" t="s">
        <v>776</v>
      </c>
      <c r="C179" s="452">
        <v>1966</v>
      </c>
      <c r="D179" s="453">
        <v>2136</v>
      </c>
    </row>
    <row r="180" spans="1:4" x14ac:dyDescent="0.25">
      <c r="A180" s="380" t="s">
        <v>153</v>
      </c>
      <c r="B180" s="381" t="s">
        <v>776</v>
      </c>
      <c r="C180" s="452">
        <v>1966</v>
      </c>
      <c r="D180" s="453">
        <v>2136</v>
      </c>
    </row>
    <row r="181" spans="1:4" x14ac:dyDescent="0.25">
      <c r="A181" s="380" t="s">
        <v>154</v>
      </c>
      <c r="B181" s="381" t="s">
        <v>776</v>
      </c>
      <c r="C181" s="452">
        <v>1966</v>
      </c>
      <c r="D181" s="453">
        <v>2136</v>
      </c>
    </row>
    <row r="182" spans="1:4" x14ac:dyDescent="0.25">
      <c r="A182" s="380" t="s">
        <v>156</v>
      </c>
      <c r="B182" s="381" t="s">
        <v>776</v>
      </c>
      <c r="C182" s="452">
        <v>1966</v>
      </c>
      <c r="D182" s="453">
        <v>2136</v>
      </c>
    </row>
    <row r="183" spans="1:4" x14ac:dyDescent="0.25">
      <c r="A183" s="380" t="s">
        <v>157</v>
      </c>
      <c r="B183" s="381" t="s">
        <v>776</v>
      </c>
      <c r="C183" s="452">
        <v>1966</v>
      </c>
      <c r="D183" s="453">
        <v>2136</v>
      </c>
    </row>
    <row r="184" spans="1:4" x14ac:dyDescent="0.25">
      <c r="A184" s="380" t="s">
        <v>158</v>
      </c>
      <c r="B184" s="381" t="s">
        <v>776</v>
      </c>
      <c r="C184" s="452">
        <v>1966</v>
      </c>
      <c r="D184" s="453">
        <v>2136</v>
      </c>
    </row>
    <row r="185" spans="1:4" x14ac:dyDescent="0.25">
      <c r="A185" s="380" t="s">
        <v>292</v>
      </c>
      <c r="B185" s="381" t="s">
        <v>776</v>
      </c>
      <c r="C185" s="452">
        <v>1966</v>
      </c>
      <c r="D185" s="453">
        <v>2136</v>
      </c>
    </row>
    <row r="186" spans="1:4" x14ac:dyDescent="0.25">
      <c r="A186" s="380" t="s">
        <v>162</v>
      </c>
      <c r="B186" s="381" t="s">
        <v>776</v>
      </c>
      <c r="C186" s="452">
        <v>1966</v>
      </c>
      <c r="D186" s="453">
        <v>2136</v>
      </c>
    </row>
    <row r="187" spans="1:4" x14ac:dyDescent="0.25">
      <c r="A187" s="380" t="s">
        <v>163</v>
      </c>
      <c r="B187" s="381" t="s">
        <v>776</v>
      </c>
      <c r="C187" s="452">
        <v>1966</v>
      </c>
      <c r="D187" s="453">
        <v>2136</v>
      </c>
    </row>
    <row r="188" spans="1:4" x14ac:dyDescent="0.25">
      <c r="A188" s="380" t="s">
        <v>164</v>
      </c>
      <c r="B188" s="381" t="s">
        <v>776</v>
      </c>
      <c r="C188" s="452">
        <v>1966</v>
      </c>
      <c r="D188" s="453">
        <v>2136</v>
      </c>
    </row>
    <row r="189" spans="1:4" x14ac:dyDescent="0.25">
      <c r="A189" s="380" t="s">
        <v>166</v>
      </c>
      <c r="B189" s="381" t="s">
        <v>776</v>
      </c>
      <c r="C189" s="452">
        <v>1966</v>
      </c>
      <c r="D189" s="453">
        <v>2136</v>
      </c>
    </row>
    <row r="190" spans="1:4" x14ac:dyDescent="0.25">
      <c r="A190" s="380" t="s">
        <v>167</v>
      </c>
      <c r="B190" s="381" t="s">
        <v>776</v>
      </c>
      <c r="C190" s="452">
        <v>1966</v>
      </c>
      <c r="D190" s="453">
        <v>2136</v>
      </c>
    </row>
    <row r="191" spans="1:4" x14ac:dyDescent="0.25">
      <c r="A191" s="380" t="s">
        <v>168</v>
      </c>
      <c r="B191" s="381" t="s">
        <v>776</v>
      </c>
      <c r="C191" s="452">
        <v>1966</v>
      </c>
      <c r="D191" s="453">
        <v>2136</v>
      </c>
    </row>
    <row r="192" spans="1:4" x14ac:dyDescent="0.25">
      <c r="A192" s="380" t="s">
        <v>169</v>
      </c>
      <c r="B192" s="381" t="s">
        <v>776</v>
      </c>
      <c r="C192" s="452">
        <v>1966</v>
      </c>
      <c r="D192" s="453">
        <v>2136</v>
      </c>
    </row>
    <row r="193" spans="1:4" x14ac:dyDescent="0.25">
      <c r="A193" s="380" t="s">
        <v>170</v>
      </c>
      <c r="B193" s="381" t="s">
        <v>776</v>
      </c>
      <c r="C193" s="452">
        <v>1966</v>
      </c>
      <c r="D193" s="453">
        <v>2136</v>
      </c>
    </row>
    <row r="194" spans="1:4" x14ac:dyDescent="0.25">
      <c r="A194" s="380" t="s">
        <v>172</v>
      </c>
      <c r="B194" s="381" t="s">
        <v>776</v>
      </c>
      <c r="C194" s="452">
        <v>1966</v>
      </c>
      <c r="D194" s="453">
        <v>2136</v>
      </c>
    </row>
    <row r="195" spans="1:4" x14ac:dyDescent="0.25">
      <c r="A195" s="380" t="s">
        <v>173</v>
      </c>
      <c r="B195" s="381" t="s">
        <v>776</v>
      </c>
      <c r="C195" s="452">
        <v>1966</v>
      </c>
      <c r="D195" s="453">
        <v>2136</v>
      </c>
    </row>
    <row r="196" spans="1:4" x14ac:dyDescent="0.25">
      <c r="A196" s="380" t="s">
        <v>175</v>
      </c>
      <c r="B196" s="381" t="s">
        <v>776</v>
      </c>
      <c r="C196" s="452">
        <v>1966</v>
      </c>
      <c r="D196" s="453">
        <v>2136</v>
      </c>
    </row>
    <row r="197" spans="1:4" x14ac:dyDescent="0.25">
      <c r="A197" s="380" t="s">
        <v>176</v>
      </c>
      <c r="B197" s="381" t="s">
        <v>776</v>
      </c>
      <c r="C197" s="452">
        <v>1966</v>
      </c>
      <c r="D197" s="453">
        <v>2136</v>
      </c>
    </row>
    <row r="198" spans="1:4" x14ac:dyDescent="0.25">
      <c r="A198" s="380" t="s">
        <v>177</v>
      </c>
      <c r="B198" s="381" t="s">
        <v>776</v>
      </c>
      <c r="C198" s="452">
        <v>1966</v>
      </c>
      <c r="D198" s="453">
        <v>2136</v>
      </c>
    </row>
    <row r="199" spans="1:4" x14ac:dyDescent="0.25">
      <c r="A199" s="380" t="s">
        <v>178</v>
      </c>
      <c r="B199" s="381" t="s">
        <v>776</v>
      </c>
      <c r="C199" s="452">
        <v>1966</v>
      </c>
      <c r="D199" s="453">
        <v>2136</v>
      </c>
    </row>
    <row r="200" spans="1:4" x14ac:dyDescent="0.25">
      <c r="A200" s="380" t="s">
        <v>179</v>
      </c>
      <c r="B200" s="381" t="s">
        <v>776</v>
      </c>
      <c r="C200" s="452">
        <v>1966</v>
      </c>
      <c r="D200" s="453">
        <v>2136</v>
      </c>
    </row>
    <row r="201" spans="1:4" x14ac:dyDescent="0.25">
      <c r="A201" s="380" t="s">
        <v>181</v>
      </c>
      <c r="B201" s="381" t="s">
        <v>776</v>
      </c>
      <c r="C201" s="452">
        <v>1966</v>
      </c>
      <c r="D201" s="453">
        <v>2136</v>
      </c>
    </row>
    <row r="202" spans="1:4" x14ac:dyDescent="0.25">
      <c r="A202" s="380" t="s">
        <v>182</v>
      </c>
      <c r="B202" s="381" t="s">
        <v>776</v>
      </c>
      <c r="C202" s="452">
        <v>1966</v>
      </c>
      <c r="D202" s="453">
        <v>2136</v>
      </c>
    </row>
    <row r="203" spans="1:4" x14ac:dyDescent="0.25">
      <c r="A203" s="380" t="s">
        <v>183</v>
      </c>
      <c r="B203" s="381" t="s">
        <v>776</v>
      </c>
      <c r="C203" s="452">
        <v>1966</v>
      </c>
      <c r="D203" s="453">
        <v>2136</v>
      </c>
    </row>
    <row r="204" spans="1:4" x14ac:dyDescent="0.25">
      <c r="A204" s="380" t="s">
        <v>184</v>
      </c>
      <c r="B204" s="381" t="s">
        <v>776</v>
      </c>
      <c r="C204" s="452">
        <v>1966</v>
      </c>
      <c r="D204" s="453">
        <v>2136</v>
      </c>
    </row>
    <row r="205" spans="1:4" x14ac:dyDescent="0.25">
      <c r="A205" s="380" t="s">
        <v>185</v>
      </c>
      <c r="B205" s="381" t="s">
        <v>776</v>
      </c>
      <c r="C205" s="452">
        <v>1966</v>
      </c>
      <c r="D205" s="453">
        <v>2136</v>
      </c>
    </row>
    <row r="206" spans="1:4" x14ac:dyDescent="0.25">
      <c r="A206" s="380" t="s">
        <v>186</v>
      </c>
      <c r="B206" s="381" t="s">
        <v>776</v>
      </c>
      <c r="C206" s="452">
        <v>1966</v>
      </c>
      <c r="D206" s="453">
        <v>2136</v>
      </c>
    </row>
    <row r="207" spans="1:4" x14ac:dyDescent="0.25">
      <c r="A207" s="380" t="s">
        <v>187</v>
      </c>
      <c r="B207" s="381" t="s">
        <v>776</v>
      </c>
      <c r="C207" s="452">
        <v>1966</v>
      </c>
      <c r="D207" s="453">
        <v>2136</v>
      </c>
    </row>
    <row r="208" spans="1:4" x14ac:dyDescent="0.25">
      <c r="A208" s="380" t="s">
        <v>188</v>
      </c>
      <c r="B208" s="381" t="s">
        <v>776</v>
      </c>
      <c r="C208" s="452">
        <v>1966</v>
      </c>
      <c r="D208" s="453">
        <v>2136</v>
      </c>
    </row>
    <row r="209" spans="1:4" x14ac:dyDescent="0.25">
      <c r="A209" s="380" t="s">
        <v>189</v>
      </c>
      <c r="B209" s="381" t="s">
        <v>776</v>
      </c>
      <c r="C209" s="452">
        <v>1966</v>
      </c>
      <c r="D209" s="453">
        <v>2136</v>
      </c>
    </row>
    <row r="210" spans="1:4" x14ac:dyDescent="0.25">
      <c r="A210" s="380" t="s">
        <v>192</v>
      </c>
      <c r="B210" s="381" t="s">
        <v>776</v>
      </c>
      <c r="C210" s="452">
        <v>1966</v>
      </c>
      <c r="D210" s="453">
        <v>2136</v>
      </c>
    </row>
    <row r="211" spans="1:4" x14ac:dyDescent="0.25">
      <c r="A211" s="380" t="s">
        <v>194</v>
      </c>
      <c r="B211" s="381" t="s">
        <v>776</v>
      </c>
      <c r="C211" s="452">
        <v>1966</v>
      </c>
      <c r="D211" s="453">
        <v>2136</v>
      </c>
    </row>
    <row r="212" spans="1:4" x14ac:dyDescent="0.25">
      <c r="A212" s="380" t="s">
        <v>127</v>
      </c>
      <c r="B212" s="381" t="s">
        <v>134</v>
      </c>
      <c r="C212" s="452">
        <v>1732</v>
      </c>
      <c r="D212" s="453">
        <v>1871</v>
      </c>
    </row>
    <row r="213" spans="1:4" x14ac:dyDescent="0.25">
      <c r="A213" s="380" t="s">
        <v>196</v>
      </c>
      <c r="B213" s="381" t="s">
        <v>134</v>
      </c>
      <c r="C213" s="452">
        <v>1732</v>
      </c>
      <c r="D213" s="453">
        <v>1871</v>
      </c>
    </row>
    <row r="214" spans="1:4" x14ac:dyDescent="0.25">
      <c r="A214" s="380" t="s">
        <v>271</v>
      </c>
      <c r="B214" s="381" t="s">
        <v>134</v>
      </c>
      <c r="C214" s="452">
        <v>1732</v>
      </c>
      <c r="D214" s="453">
        <v>1871</v>
      </c>
    </row>
    <row r="215" spans="1:4" x14ac:dyDescent="0.25">
      <c r="A215" s="380" t="s">
        <v>136</v>
      </c>
      <c r="B215" s="381" t="s">
        <v>134</v>
      </c>
      <c r="C215" s="452">
        <v>1732</v>
      </c>
      <c r="D215" s="453">
        <v>1871</v>
      </c>
    </row>
    <row r="216" spans="1:4" x14ac:dyDescent="0.25">
      <c r="A216" s="380" t="s">
        <v>138</v>
      </c>
      <c r="B216" s="381" t="s">
        <v>134</v>
      </c>
      <c r="C216" s="452">
        <v>1732</v>
      </c>
      <c r="D216" s="453">
        <v>1871</v>
      </c>
    </row>
    <row r="217" spans="1:4" x14ac:dyDescent="0.25">
      <c r="A217" s="380" t="s">
        <v>272</v>
      </c>
      <c r="B217" s="381" t="s">
        <v>134</v>
      </c>
      <c r="C217" s="452">
        <v>1732</v>
      </c>
      <c r="D217" s="453">
        <v>1871</v>
      </c>
    </row>
    <row r="218" spans="1:4" x14ac:dyDescent="0.25">
      <c r="A218" s="380" t="s">
        <v>273</v>
      </c>
      <c r="B218" s="381" t="s">
        <v>134</v>
      </c>
      <c r="C218" s="452">
        <v>1732</v>
      </c>
      <c r="D218" s="453">
        <v>1871</v>
      </c>
    </row>
    <row r="219" spans="1:4" x14ac:dyDescent="0.25">
      <c r="A219" s="380" t="s">
        <v>141</v>
      </c>
      <c r="B219" s="381" t="s">
        <v>134</v>
      </c>
      <c r="C219" s="452">
        <v>1732</v>
      </c>
      <c r="D219" s="453">
        <v>1871</v>
      </c>
    </row>
    <row r="220" spans="1:4" x14ac:dyDescent="0.25">
      <c r="A220" s="380" t="s">
        <v>274</v>
      </c>
      <c r="B220" s="381" t="s">
        <v>134</v>
      </c>
      <c r="C220" s="452">
        <v>1732</v>
      </c>
      <c r="D220" s="453">
        <v>1871</v>
      </c>
    </row>
    <row r="221" spans="1:4" x14ac:dyDescent="0.25">
      <c r="A221" s="380" t="s">
        <v>144</v>
      </c>
      <c r="B221" s="381" t="s">
        <v>134</v>
      </c>
      <c r="C221" s="452">
        <v>1732</v>
      </c>
      <c r="D221" s="453">
        <v>1871</v>
      </c>
    </row>
    <row r="222" spans="1:4" x14ac:dyDescent="0.25">
      <c r="A222" s="380" t="s">
        <v>147</v>
      </c>
      <c r="B222" s="381" t="s">
        <v>134</v>
      </c>
      <c r="C222" s="452">
        <v>1732</v>
      </c>
      <c r="D222" s="453">
        <v>1871</v>
      </c>
    </row>
    <row r="223" spans="1:4" x14ac:dyDescent="0.25">
      <c r="A223" s="380" t="s">
        <v>275</v>
      </c>
      <c r="B223" s="381" t="s">
        <v>134</v>
      </c>
      <c r="C223" s="452">
        <v>1732</v>
      </c>
      <c r="D223" s="453">
        <v>1871</v>
      </c>
    </row>
    <row r="224" spans="1:4" x14ac:dyDescent="0.25">
      <c r="A224" s="380" t="s">
        <v>150</v>
      </c>
      <c r="B224" s="381" t="s">
        <v>134</v>
      </c>
      <c r="C224" s="452">
        <v>1732</v>
      </c>
      <c r="D224" s="453">
        <v>1871</v>
      </c>
    </row>
    <row r="225" spans="1:4" x14ac:dyDescent="0.25">
      <c r="A225" s="380" t="s">
        <v>276</v>
      </c>
      <c r="B225" s="381" t="s">
        <v>134</v>
      </c>
      <c r="C225" s="452">
        <v>1732</v>
      </c>
      <c r="D225" s="453">
        <v>1871</v>
      </c>
    </row>
    <row r="226" spans="1:4" x14ac:dyDescent="0.25">
      <c r="A226" s="380" t="s">
        <v>277</v>
      </c>
      <c r="B226" s="381" t="s">
        <v>134</v>
      </c>
      <c r="C226" s="452">
        <v>1732</v>
      </c>
      <c r="D226" s="453">
        <v>1871</v>
      </c>
    </row>
    <row r="227" spans="1:4" x14ac:dyDescent="0.25">
      <c r="A227" s="380" t="s">
        <v>278</v>
      </c>
      <c r="B227" s="381" t="s">
        <v>134</v>
      </c>
      <c r="C227" s="452">
        <v>1732</v>
      </c>
      <c r="D227" s="453">
        <v>1871</v>
      </c>
    </row>
    <row r="228" spans="1:4" x14ac:dyDescent="0.25">
      <c r="A228" s="380" t="s">
        <v>280</v>
      </c>
      <c r="B228" s="381" t="s">
        <v>134</v>
      </c>
      <c r="C228" s="452">
        <v>1732</v>
      </c>
      <c r="D228" s="453">
        <v>1871</v>
      </c>
    </row>
    <row r="229" spans="1:4" x14ac:dyDescent="0.25">
      <c r="A229" s="380" t="s">
        <v>281</v>
      </c>
      <c r="B229" s="381" t="s">
        <v>134</v>
      </c>
      <c r="C229" s="452">
        <v>1732</v>
      </c>
      <c r="D229" s="453">
        <v>1871</v>
      </c>
    </row>
    <row r="230" spans="1:4" x14ac:dyDescent="0.25">
      <c r="A230" s="380" t="s">
        <v>282</v>
      </c>
      <c r="B230" s="381" t="s">
        <v>134</v>
      </c>
      <c r="C230" s="452">
        <v>1732</v>
      </c>
      <c r="D230" s="453">
        <v>1871</v>
      </c>
    </row>
    <row r="231" spans="1:4" x14ac:dyDescent="0.25">
      <c r="A231" s="380" t="s">
        <v>283</v>
      </c>
      <c r="B231" s="381" t="s">
        <v>134</v>
      </c>
      <c r="C231" s="452">
        <v>1732</v>
      </c>
      <c r="D231" s="453">
        <v>1871</v>
      </c>
    </row>
    <row r="232" spans="1:4" x14ac:dyDescent="0.25">
      <c r="A232" s="380" t="s">
        <v>284</v>
      </c>
      <c r="B232" s="381" t="s">
        <v>134</v>
      </c>
      <c r="C232" s="452">
        <v>1732</v>
      </c>
      <c r="D232" s="453">
        <v>1871</v>
      </c>
    </row>
    <row r="233" spans="1:4" x14ac:dyDescent="0.25">
      <c r="A233" s="380" t="s">
        <v>285</v>
      </c>
      <c r="B233" s="381" t="s">
        <v>134</v>
      </c>
      <c r="C233" s="452">
        <v>1732</v>
      </c>
      <c r="D233" s="453">
        <v>1871</v>
      </c>
    </row>
    <row r="234" spans="1:4" x14ac:dyDescent="0.25">
      <c r="A234" s="380" t="s">
        <v>286</v>
      </c>
      <c r="B234" s="381" t="s">
        <v>134</v>
      </c>
      <c r="C234" s="452">
        <v>1732</v>
      </c>
      <c r="D234" s="453">
        <v>1871</v>
      </c>
    </row>
    <row r="235" spans="1:4" x14ac:dyDescent="0.25">
      <c r="A235" s="380" t="s">
        <v>287</v>
      </c>
      <c r="B235" s="381" t="s">
        <v>134</v>
      </c>
      <c r="C235" s="452">
        <v>1732</v>
      </c>
      <c r="D235" s="453">
        <v>1871</v>
      </c>
    </row>
    <row r="236" spans="1:4" x14ac:dyDescent="0.25">
      <c r="A236" s="380" t="s">
        <v>159</v>
      </c>
      <c r="B236" s="381" t="s">
        <v>134</v>
      </c>
      <c r="C236" s="452">
        <v>1732</v>
      </c>
      <c r="D236" s="453">
        <v>1871</v>
      </c>
    </row>
    <row r="237" spans="1:4" x14ac:dyDescent="0.25">
      <c r="A237" s="380" t="s">
        <v>160</v>
      </c>
      <c r="B237" s="381" t="s">
        <v>134</v>
      </c>
      <c r="C237" s="452">
        <v>1732</v>
      </c>
      <c r="D237" s="453">
        <v>1871</v>
      </c>
    </row>
    <row r="238" spans="1:4" x14ac:dyDescent="0.25">
      <c r="A238" s="380" t="s">
        <v>161</v>
      </c>
      <c r="B238" s="381" t="s">
        <v>134</v>
      </c>
      <c r="C238" s="452">
        <v>1732</v>
      </c>
      <c r="D238" s="453">
        <v>1871</v>
      </c>
    </row>
    <row r="239" spans="1:4" x14ac:dyDescent="0.25">
      <c r="A239" s="380" t="s">
        <v>288</v>
      </c>
      <c r="B239" s="381" t="s">
        <v>134</v>
      </c>
      <c r="C239" s="452">
        <v>1732</v>
      </c>
      <c r="D239" s="453">
        <v>1871</v>
      </c>
    </row>
    <row r="240" spans="1:4" x14ac:dyDescent="0.25">
      <c r="A240" s="380" t="s">
        <v>289</v>
      </c>
      <c r="B240" s="381" t="s">
        <v>134</v>
      </c>
      <c r="C240" s="452">
        <v>1732</v>
      </c>
      <c r="D240" s="453">
        <v>1871</v>
      </c>
    </row>
    <row r="241" spans="1:4" x14ac:dyDescent="0.25">
      <c r="A241" s="380" t="s">
        <v>290</v>
      </c>
      <c r="B241" s="381" t="s">
        <v>134</v>
      </c>
      <c r="C241" s="452">
        <v>1732</v>
      </c>
      <c r="D241" s="453">
        <v>1871</v>
      </c>
    </row>
    <row r="242" spans="1:4" x14ac:dyDescent="0.25">
      <c r="A242" s="380" t="s">
        <v>291</v>
      </c>
      <c r="B242" s="381" t="s">
        <v>134</v>
      </c>
      <c r="C242" s="452">
        <v>1732</v>
      </c>
      <c r="D242" s="453">
        <v>1871</v>
      </c>
    </row>
    <row r="243" spans="1:4" x14ac:dyDescent="0.25">
      <c r="A243" s="380" t="s">
        <v>293</v>
      </c>
      <c r="B243" s="381" t="s">
        <v>134</v>
      </c>
      <c r="C243" s="452">
        <v>1732</v>
      </c>
      <c r="D243" s="453">
        <v>1871</v>
      </c>
    </row>
    <row r="244" spans="1:4" x14ac:dyDescent="0.25">
      <c r="A244" s="380" t="s">
        <v>294</v>
      </c>
      <c r="B244" s="381" t="s">
        <v>134</v>
      </c>
      <c r="C244" s="452">
        <v>1732</v>
      </c>
      <c r="D244" s="453">
        <v>1871</v>
      </c>
    </row>
    <row r="245" spans="1:4" x14ac:dyDescent="0.25">
      <c r="A245" s="380" t="s">
        <v>295</v>
      </c>
      <c r="B245" s="381" t="s">
        <v>134</v>
      </c>
      <c r="C245" s="452">
        <v>1732</v>
      </c>
      <c r="D245" s="453">
        <v>1871</v>
      </c>
    </row>
    <row r="246" spans="1:4" x14ac:dyDescent="0.25">
      <c r="A246" s="380" t="s">
        <v>296</v>
      </c>
      <c r="B246" s="381" t="s">
        <v>134</v>
      </c>
      <c r="C246" s="452">
        <v>1732</v>
      </c>
      <c r="D246" s="453">
        <v>1871</v>
      </c>
    </row>
    <row r="247" spans="1:4" x14ac:dyDescent="0.25">
      <c r="A247" s="380" t="s">
        <v>297</v>
      </c>
      <c r="B247" s="381" t="s">
        <v>134</v>
      </c>
      <c r="C247" s="452">
        <v>1732</v>
      </c>
      <c r="D247" s="453">
        <v>1871</v>
      </c>
    </row>
    <row r="248" spans="1:4" x14ac:dyDescent="0.25">
      <c r="A248" s="380" t="s">
        <v>298</v>
      </c>
      <c r="B248" s="381" t="s">
        <v>134</v>
      </c>
      <c r="C248" s="452">
        <v>1732</v>
      </c>
      <c r="D248" s="453">
        <v>1871</v>
      </c>
    </row>
    <row r="249" spans="1:4" x14ac:dyDescent="0.25">
      <c r="A249" s="380" t="s">
        <v>299</v>
      </c>
      <c r="B249" s="381" t="s">
        <v>134</v>
      </c>
      <c r="C249" s="452">
        <v>1732</v>
      </c>
      <c r="D249" s="453">
        <v>1871</v>
      </c>
    </row>
    <row r="250" spans="1:4" x14ac:dyDescent="0.25">
      <c r="A250" s="380" t="s">
        <v>300</v>
      </c>
      <c r="B250" s="381" t="s">
        <v>134</v>
      </c>
      <c r="C250" s="452">
        <v>1732</v>
      </c>
      <c r="D250" s="453">
        <v>1871</v>
      </c>
    </row>
    <row r="251" spans="1:4" x14ac:dyDescent="0.25">
      <c r="A251" s="380" t="s">
        <v>301</v>
      </c>
      <c r="B251" s="381" t="s">
        <v>134</v>
      </c>
      <c r="C251" s="452">
        <v>1732</v>
      </c>
      <c r="D251" s="453">
        <v>1871</v>
      </c>
    </row>
    <row r="252" spans="1:4" x14ac:dyDescent="0.25">
      <c r="A252" s="380" t="s">
        <v>302</v>
      </c>
      <c r="B252" s="381" t="s">
        <v>134</v>
      </c>
      <c r="C252" s="452">
        <v>1732</v>
      </c>
      <c r="D252" s="453">
        <v>1871</v>
      </c>
    </row>
    <row r="253" spans="1:4" x14ac:dyDescent="0.25">
      <c r="A253" s="380" t="s">
        <v>303</v>
      </c>
      <c r="B253" s="381" t="s">
        <v>134</v>
      </c>
      <c r="C253" s="452">
        <v>1732</v>
      </c>
      <c r="D253" s="453">
        <v>1871</v>
      </c>
    </row>
    <row r="254" spans="1:4" x14ac:dyDescent="0.25">
      <c r="A254" s="380" t="s">
        <v>304</v>
      </c>
      <c r="B254" s="381" t="s">
        <v>134</v>
      </c>
      <c r="C254" s="452">
        <v>1732</v>
      </c>
      <c r="D254" s="453">
        <v>1871</v>
      </c>
    </row>
    <row r="255" spans="1:4" x14ac:dyDescent="0.25">
      <c r="A255" s="380" t="s">
        <v>305</v>
      </c>
      <c r="B255" s="381" t="s">
        <v>134</v>
      </c>
      <c r="C255" s="452">
        <v>1732</v>
      </c>
      <c r="D255" s="453">
        <v>1871</v>
      </c>
    </row>
    <row r="256" spans="1:4" x14ac:dyDescent="0.25">
      <c r="A256" s="380" t="s">
        <v>306</v>
      </c>
      <c r="B256" s="381" t="s">
        <v>134</v>
      </c>
      <c r="C256" s="452">
        <v>1732</v>
      </c>
      <c r="D256" s="453">
        <v>1871</v>
      </c>
    </row>
    <row r="257" spans="1:4" x14ac:dyDescent="0.25">
      <c r="A257" s="380" t="s">
        <v>307</v>
      </c>
      <c r="B257" s="381" t="s">
        <v>134</v>
      </c>
      <c r="C257" s="452">
        <v>1732</v>
      </c>
      <c r="D257" s="453">
        <v>1871</v>
      </c>
    </row>
    <row r="258" spans="1:4" x14ac:dyDescent="0.25">
      <c r="A258" s="380" t="s">
        <v>308</v>
      </c>
      <c r="B258" s="381" t="s">
        <v>134</v>
      </c>
      <c r="C258" s="452">
        <v>1732</v>
      </c>
      <c r="D258" s="453">
        <v>1871</v>
      </c>
    </row>
    <row r="259" spans="1:4" x14ac:dyDescent="0.25">
      <c r="A259" s="380" t="s">
        <v>309</v>
      </c>
      <c r="B259" s="381" t="s">
        <v>134</v>
      </c>
      <c r="C259" s="452">
        <v>1732</v>
      </c>
      <c r="D259" s="453">
        <v>1871</v>
      </c>
    </row>
    <row r="260" spans="1:4" x14ac:dyDescent="0.25">
      <c r="A260" s="380" t="s">
        <v>310</v>
      </c>
      <c r="B260" s="381" t="s">
        <v>134</v>
      </c>
      <c r="C260" s="452">
        <v>1732</v>
      </c>
      <c r="D260" s="453">
        <v>1871</v>
      </c>
    </row>
    <row r="261" spans="1:4" x14ac:dyDescent="0.25">
      <c r="A261" s="380" t="s">
        <v>311</v>
      </c>
      <c r="B261" s="381" t="s">
        <v>134</v>
      </c>
      <c r="C261" s="452">
        <v>1732</v>
      </c>
      <c r="D261" s="453">
        <v>1871</v>
      </c>
    </row>
    <row r="262" spans="1:4" x14ac:dyDescent="0.25">
      <c r="A262" s="380" t="s">
        <v>312</v>
      </c>
      <c r="B262" s="381" t="s">
        <v>134</v>
      </c>
      <c r="C262" s="452">
        <v>1732</v>
      </c>
      <c r="D262" s="453">
        <v>1871</v>
      </c>
    </row>
    <row r="263" spans="1:4" x14ac:dyDescent="0.25">
      <c r="A263" s="380" t="s">
        <v>180</v>
      </c>
      <c r="B263" s="381" t="s">
        <v>134</v>
      </c>
      <c r="C263" s="452">
        <v>1732</v>
      </c>
      <c r="D263" s="453">
        <v>1871</v>
      </c>
    </row>
    <row r="264" spans="1:4" x14ac:dyDescent="0.25">
      <c r="A264" s="380" t="s">
        <v>313</v>
      </c>
      <c r="B264" s="381" t="s">
        <v>134</v>
      </c>
      <c r="C264" s="452">
        <v>1732</v>
      </c>
      <c r="D264" s="453">
        <v>1871</v>
      </c>
    </row>
    <row r="265" spans="1:4" x14ac:dyDescent="0.25">
      <c r="A265" s="380" t="s">
        <v>314</v>
      </c>
      <c r="B265" s="381" t="s">
        <v>134</v>
      </c>
      <c r="C265" s="452">
        <v>1732</v>
      </c>
      <c r="D265" s="453">
        <v>1871</v>
      </c>
    </row>
    <row r="266" spans="1:4" x14ac:dyDescent="0.25">
      <c r="A266" s="380" t="s">
        <v>315</v>
      </c>
      <c r="B266" s="381" t="s">
        <v>134</v>
      </c>
      <c r="C266" s="452">
        <v>1732</v>
      </c>
      <c r="D266" s="453">
        <v>1871</v>
      </c>
    </row>
    <row r="267" spans="1:4" x14ac:dyDescent="0.25">
      <c r="A267" s="380" t="s">
        <v>316</v>
      </c>
      <c r="B267" s="381" t="s">
        <v>134</v>
      </c>
      <c r="C267" s="452">
        <v>1732</v>
      </c>
      <c r="D267" s="453">
        <v>1871</v>
      </c>
    </row>
    <row r="268" spans="1:4" x14ac:dyDescent="0.25">
      <c r="A268" s="380" t="s">
        <v>317</v>
      </c>
      <c r="B268" s="381" t="s">
        <v>134</v>
      </c>
      <c r="C268" s="452">
        <v>1732</v>
      </c>
      <c r="D268" s="453">
        <v>1871</v>
      </c>
    </row>
    <row r="269" spans="1:4" x14ac:dyDescent="0.25">
      <c r="A269" s="380" t="s">
        <v>318</v>
      </c>
      <c r="B269" s="381" t="s">
        <v>134</v>
      </c>
      <c r="C269" s="452">
        <v>1732</v>
      </c>
      <c r="D269" s="453">
        <v>1871</v>
      </c>
    </row>
    <row r="270" spans="1:4" x14ac:dyDescent="0.25">
      <c r="A270" s="380" t="s">
        <v>319</v>
      </c>
      <c r="B270" s="381" t="s">
        <v>134</v>
      </c>
      <c r="C270" s="452">
        <v>1732</v>
      </c>
      <c r="D270" s="453">
        <v>1871</v>
      </c>
    </row>
    <row r="271" spans="1:4" x14ac:dyDescent="0.25">
      <c r="A271" s="380" t="s">
        <v>320</v>
      </c>
      <c r="B271" s="381" t="s">
        <v>134</v>
      </c>
      <c r="C271" s="452">
        <v>1732</v>
      </c>
      <c r="D271" s="453">
        <v>1871</v>
      </c>
    </row>
    <row r="272" spans="1:4" x14ac:dyDescent="0.25">
      <c r="A272" s="380" t="s">
        <v>190</v>
      </c>
      <c r="B272" s="381" t="s">
        <v>134</v>
      </c>
      <c r="C272" s="452">
        <v>1732</v>
      </c>
      <c r="D272" s="453">
        <v>1871</v>
      </c>
    </row>
    <row r="273" spans="1:4" x14ac:dyDescent="0.25">
      <c r="A273" s="380" t="s">
        <v>191</v>
      </c>
      <c r="B273" s="381" t="s">
        <v>134</v>
      </c>
      <c r="C273" s="452">
        <v>1732</v>
      </c>
      <c r="D273" s="453">
        <v>1871</v>
      </c>
    </row>
    <row r="274" spans="1:4" x14ac:dyDescent="0.25">
      <c r="A274" s="380" t="s">
        <v>193</v>
      </c>
      <c r="B274" s="381" t="s">
        <v>134</v>
      </c>
      <c r="C274" s="452">
        <v>1732</v>
      </c>
      <c r="D274" s="453">
        <v>1871</v>
      </c>
    </row>
    <row r="275" spans="1:4" x14ac:dyDescent="0.25">
      <c r="A275" s="380" t="s">
        <v>195</v>
      </c>
      <c r="B275" s="381" t="s">
        <v>133</v>
      </c>
      <c r="C275" s="452">
        <v>1601</v>
      </c>
      <c r="D275" s="453">
        <v>1732</v>
      </c>
    </row>
    <row r="276" spans="1:4" x14ac:dyDescent="0.25">
      <c r="A276" s="380" t="s">
        <v>199</v>
      </c>
      <c r="B276" s="381" t="s">
        <v>133</v>
      </c>
      <c r="C276" s="452">
        <v>1601</v>
      </c>
      <c r="D276" s="453">
        <v>1732</v>
      </c>
    </row>
    <row r="277" spans="1:4" x14ac:dyDescent="0.25">
      <c r="A277" s="380" t="s">
        <v>200</v>
      </c>
      <c r="B277" s="381" t="s">
        <v>133</v>
      </c>
      <c r="C277" s="452">
        <v>1601</v>
      </c>
      <c r="D277" s="453">
        <v>1732</v>
      </c>
    </row>
    <row r="278" spans="1:4" x14ac:dyDescent="0.25">
      <c r="A278" s="380" t="s">
        <v>201</v>
      </c>
      <c r="B278" s="381" t="s">
        <v>133</v>
      </c>
      <c r="C278" s="452">
        <v>1601</v>
      </c>
      <c r="D278" s="453">
        <v>1732</v>
      </c>
    </row>
    <row r="279" spans="1:4" x14ac:dyDescent="0.25">
      <c r="A279" s="380" t="s">
        <v>202</v>
      </c>
      <c r="B279" s="381" t="s">
        <v>133</v>
      </c>
      <c r="C279" s="452">
        <v>1601</v>
      </c>
      <c r="D279" s="453">
        <v>1732</v>
      </c>
    </row>
    <row r="280" spans="1:4" x14ac:dyDescent="0.25">
      <c r="A280" s="380" t="s">
        <v>203</v>
      </c>
      <c r="B280" s="381" t="s">
        <v>133</v>
      </c>
      <c r="C280" s="452">
        <v>1601</v>
      </c>
      <c r="D280" s="453">
        <v>1732</v>
      </c>
    </row>
    <row r="281" spans="1:4" x14ac:dyDescent="0.25">
      <c r="A281" s="380" t="s">
        <v>204</v>
      </c>
      <c r="B281" s="381" t="s">
        <v>133</v>
      </c>
      <c r="C281" s="452">
        <v>1601</v>
      </c>
      <c r="D281" s="453">
        <v>1732</v>
      </c>
    </row>
    <row r="282" spans="1:4" x14ac:dyDescent="0.25">
      <c r="A282" s="380" t="s">
        <v>205</v>
      </c>
      <c r="B282" s="381" t="s">
        <v>133</v>
      </c>
      <c r="C282" s="452">
        <v>1601</v>
      </c>
      <c r="D282" s="453">
        <v>1732</v>
      </c>
    </row>
    <row r="283" spans="1:4" x14ac:dyDescent="0.25">
      <c r="A283" s="380" t="s">
        <v>142</v>
      </c>
      <c r="B283" s="381" t="s">
        <v>133</v>
      </c>
      <c r="C283" s="452">
        <v>1601</v>
      </c>
      <c r="D283" s="453">
        <v>1732</v>
      </c>
    </row>
    <row r="284" spans="1:4" x14ac:dyDescent="0.25">
      <c r="A284" s="380" t="s">
        <v>206</v>
      </c>
      <c r="B284" s="381" t="s">
        <v>133</v>
      </c>
      <c r="C284" s="452">
        <v>1601</v>
      </c>
      <c r="D284" s="453">
        <v>1732</v>
      </c>
    </row>
    <row r="285" spans="1:4" x14ac:dyDescent="0.25">
      <c r="A285" s="380" t="s">
        <v>207</v>
      </c>
      <c r="B285" s="381" t="s">
        <v>133</v>
      </c>
      <c r="C285" s="452">
        <v>1601</v>
      </c>
      <c r="D285" s="453">
        <v>1732</v>
      </c>
    </row>
    <row r="286" spans="1:4" x14ac:dyDescent="0.25">
      <c r="A286" s="380" t="s">
        <v>208</v>
      </c>
      <c r="B286" s="381" t="s">
        <v>133</v>
      </c>
      <c r="C286" s="452">
        <v>1601</v>
      </c>
      <c r="D286" s="453">
        <v>1732</v>
      </c>
    </row>
    <row r="287" spans="1:4" x14ac:dyDescent="0.25">
      <c r="A287" s="380" t="s">
        <v>209</v>
      </c>
      <c r="B287" s="381" t="s">
        <v>133</v>
      </c>
      <c r="C287" s="452">
        <v>1601</v>
      </c>
      <c r="D287" s="453">
        <v>1732</v>
      </c>
    </row>
    <row r="288" spans="1:4" x14ac:dyDescent="0.25">
      <c r="A288" s="380" t="s">
        <v>210</v>
      </c>
      <c r="B288" s="381" t="s">
        <v>133</v>
      </c>
      <c r="C288" s="452">
        <v>1601</v>
      </c>
      <c r="D288" s="453">
        <v>1732</v>
      </c>
    </row>
    <row r="289" spans="1:4" x14ac:dyDescent="0.25">
      <c r="A289" s="380" t="s">
        <v>211</v>
      </c>
      <c r="B289" s="381" t="s">
        <v>133</v>
      </c>
      <c r="C289" s="452">
        <v>1601</v>
      </c>
      <c r="D289" s="453">
        <v>1732</v>
      </c>
    </row>
    <row r="290" spans="1:4" x14ac:dyDescent="0.25">
      <c r="A290" s="380" t="s">
        <v>149</v>
      </c>
      <c r="B290" s="381" t="s">
        <v>133</v>
      </c>
      <c r="C290" s="452">
        <v>1601</v>
      </c>
      <c r="D290" s="453">
        <v>1732</v>
      </c>
    </row>
    <row r="291" spans="1:4" x14ac:dyDescent="0.25">
      <c r="A291" s="380" t="s">
        <v>212</v>
      </c>
      <c r="B291" s="381" t="s">
        <v>133</v>
      </c>
      <c r="C291" s="452">
        <v>1601</v>
      </c>
      <c r="D291" s="453">
        <v>1732</v>
      </c>
    </row>
    <row r="292" spans="1:4" x14ac:dyDescent="0.25">
      <c r="A292" s="380" t="s">
        <v>213</v>
      </c>
      <c r="B292" s="381" t="s">
        <v>133</v>
      </c>
      <c r="C292" s="452">
        <v>1601</v>
      </c>
      <c r="D292" s="453">
        <v>1732</v>
      </c>
    </row>
    <row r="293" spans="1:4" x14ac:dyDescent="0.25">
      <c r="A293" s="380" t="s">
        <v>214</v>
      </c>
      <c r="B293" s="381" t="s">
        <v>133</v>
      </c>
      <c r="C293" s="452">
        <v>1601</v>
      </c>
      <c r="D293" s="453">
        <v>1732</v>
      </c>
    </row>
    <row r="294" spans="1:4" x14ac:dyDescent="0.25">
      <c r="A294" s="380" t="s">
        <v>215</v>
      </c>
      <c r="B294" s="381" t="s">
        <v>133</v>
      </c>
      <c r="C294" s="452">
        <v>1601</v>
      </c>
      <c r="D294" s="453">
        <v>1732</v>
      </c>
    </row>
    <row r="295" spans="1:4" x14ac:dyDescent="0.25">
      <c r="A295" s="380" t="s">
        <v>216</v>
      </c>
      <c r="B295" s="381" t="s">
        <v>133</v>
      </c>
      <c r="C295" s="452">
        <v>1601</v>
      </c>
      <c r="D295" s="453">
        <v>1732</v>
      </c>
    </row>
    <row r="296" spans="1:4" x14ac:dyDescent="0.25">
      <c r="A296" s="380" t="s">
        <v>217</v>
      </c>
      <c r="B296" s="381" t="s">
        <v>133</v>
      </c>
      <c r="C296" s="452">
        <v>1601</v>
      </c>
      <c r="D296" s="453">
        <v>1732</v>
      </c>
    </row>
    <row r="297" spans="1:4" x14ac:dyDescent="0.25">
      <c r="A297" s="380" t="s">
        <v>218</v>
      </c>
      <c r="B297" s="381" t="s">
        <v>133</v>
      </c>
      <c r="C297" s="452">
        <v>1601</v>
      </c>
      <c r="D297" s="453">
        <v>1732</v>
      </c>
    </row>
    <row r="298" spans="1:4" x14ac:dyDescent="0.25">
      <c r="A298" s="380" t="s">
        <v>219</v>
      </c>
      <c r="B298" s="381" t="s">
        <v>133</v>
      </c>
      <c r="C298" s="452">
        <v>1601</v>
      </c>
      <c r="D298" s="453">
        <v>1732</v>
      </c>
    </row>
    <row r="299" spans="1:4" x14ac:dyDescent="0.25">
      <c r="A299" s="380" t="s">
        <v>220</v>
      </c>
      <c r="B299" s="381" t="s">
        <v>133</v>
      </c>
      <c r="C299" s="452">
        <v>1601</v>
      </c>
      <c r="D299" s="453">
        <v>1732</v>
      </c>
    </row>
    <row r="300" spans="1:4" x14ac:dyDescent="0.25">
      <c r="A300" s="380" t="s">
        <v>221</v>
      </c>
      <c r="B300" s="381" t="s">
        <v>133</v>
      </c>
      <c r="C300" s="452">
        <v>1601</v>
      </c>
      <c r="D300" s="453">
        <v>1732</v>
      </c>
    </row>
    <row r="301" spans="1:4" x14ac:dyDescent="0.25">
      <c r="A301" s="380" t="s">
        <v>222</v>
      </c>
      <c r="B301" s="381" t="s">
        <v>133</v>
      </c>
      <c r="C301" s="452">
        <v>1601</v>
      </c>
      <c r="D301" s="453">
        <v>1732</v>
      </c>
    </row>
    <row r="302" spans="1:4" x14ac:dyDescent="0.25">
      <c r="A302" s="380" t="s">
        <v>223</v>
      </c>
      <c r="B302" s="381" t="s">
        <v>133</v>
      </c>
      <c r="C302" s="452">
        <v>1601</v>
      </c>
      <c r="D302" s="453">
        <v>1732</v>
      </c>
    </row>
    <row r="303" spans="1:4" x14ac:dyDescent="0.25">
      <c r="A303" s="380" t="s">
        <v>224</v>
      </c>
      <c r="B303" s="381" t="s">
        <v>133</v>
      </c>
      <c r="C303" s="452">
        <v>1601</v>
      </c>
      <c r="D303" s="453">
        <v>1732</v>
      </c>
    </row>
    <row r="304" spans="1:4" x14ac:dyDescent="0.25">
      <c r="A304" s="380" t="s">
        <v>225</v>
      </c>
      <c r="B304" s="381" t="s">
        <v>133</v>
      </c>
      <c r="C304" s="452">
        <v>1601</v>
      </c>
      <c r="D304" s="453">
        <v>1732</v>
      </c>
    </row>
    <row r="305" spans="1:4" x14ac:dyDescent="0.25">
      <c r="A305" s="380" t="s">
        <v>226</v>
      </c>
      <c r="B305" s="381" t="s">
        <v>133</v>
      </c>
      <c r="C305" s="452">
        <v>1601</v>
      </c>
      <c r="D305" s="453">
        <v>1732</v>
      </c>
    </row>
    <row r="306" spans="1:4" x14ac:dyDescent="0.25">
      <c r="A306" s="380" t="s">
        <v>227</v>
      </c>
      <c r="B306" s="381" t="s">
        <v>133</v>
      </c>
      <c r="C306" s="452">
        <v>1601</v>
      </c>
      <c r="D306" s="453">
        <v>1732</v>
      </c>
    </row>
    <row r="307" spans="1:4" x14ac:dyDescent="0.25">
      <c r="A307" s="380" t="s">
        <v>228</v>
      </c>
      <c r="B307" s="381" t="s">
        <v>133</v>
      </c>
      <c r="C307" s="452">
        <v>1601</v>
      </c>
      <c r="D307" s="453">
        <v>1732</v>
      </c>
    </row>
    <row r="308" spans="1:4" x14ac:dyDescent="0.25">
      <c r="A308" s="380" t="s">
        <v>155</v>
      </c>
      <c r="B308" s="381" t="s">
        <v>133</v>
      </c>
      <c r="C308" s="452">
        <v>1601</v>
      </c>
      <c r="D308" s="453">
        <v>1732</v>
      </c>
    </row>
    <row r="309" spans="1:4" x14ac:dyDescent="0.25">
      <c r="A309" s="380" t="s">
        <v>229</v>
      </c>
      <c r="B309" s="381" t="s">
        <v>133</v>
      </c>
      <c r="C309" s="452">
        <v>1601</v>
      </c>
      <c r="D309" s="453">
        <v>1732</v>
      </c>
    </row>
    <row r="310" spans="1:4" x14ac:dyDescent="0.25">
      <c r="A310" s="380" t="s">
        <v>230</v>
      </c>
      <c r="B310" s="381" t="s">
        <v>133</v>
      </c>
      <c r="C310" s="452">
        <v>1601</v>
      </c>
      <c r="D310" s="453">
        <v>1732</v>
      </c>
    </row>
    <row r="311" spans="1:4" x14ac:dyDescent="0.25">
      <c r="A311" s="380" t="s">
        <v>231</v>
      </c>
      <c r="B311" s="381" t="s">
        <v>133</v>
      </c>
      <c r="C311" s="452">
        <v>1601</v>
      </c>
      <c r="D311" s="453">
        <v>1732</v>
      </c>
    </row>
    <row r="312" spans="1:4" x14ac:dyDescent="0.25">
      <c r="A312" s="380" t="s">
        <v>232</v>
      </c>
      <c r="B312" s="381" t="s">
        <v>133</v>
      </c>
      <c r="C312" s="452">
        <v>1601</v>
      </c>
      <c r="D312" s="453">
        <v>1732</v>
      </c>
    </row>
    <row r="313" spans="1:4" x14ac:dyDescent="0.25">
      <c r="A313" s="380" t="s">
        <v>233</v>
      </c>
      <c r="B313" s="381" t="s">
        <v>133</v>
      </c>
      <c r="C313" s="452">
        <v>1601</v>
      </c>
      <c r="D313" s="453">
        <v>1732</v>
      </c>
    </row>
    <row r="314" spans="1:4" x14ac:dyDescent="0.25">
      <c r="A314" s="380" t="s">
        <v>234</v>
      </c>
      <c r="B314" s="381" t="s">
        <v>133</v>
      </c>
      <c r="C314" s="452">
        <v>1601</v>
      </c>
      <c r="D314" s="453">
        <v>1732</v>
      </c>
    </row>
    <row r="315" spans="1:4" x14ac:dyDescent="0.25">
      <c r="A315" s="380" t="s">
        <v>235</v>
      </c>
      <c r="B315" s="381" t="s">
        <v>133</v>
      </c>
      <c r="C315" s="452">
        <v>1601</v>
      </c>
      <c r="D315" s="453">
        <v>1732</v>
      </c>
    </row>
    <row r="316" spans="1:4" x14ac:dyDescent="0.25">
      <c r="A316" s="380" t="s">
        <v>236</v>
      </c>
      <c r="B316" s="381" t="s">
        <v>133</v>
      </c>
      <c r="C316" s="452">
        <v>1601</v>
      </c>
      <c r="D316" s="453">
        <v>1732</v>
      </c>
    </row>
    <row r="317" spans="1:4" x14ac:dyDescent="0.25">
      <c r="A317" s="380" t="s">
        <v>237</v>
      </c>
      <c r="B317" s="381" t="s">
        <v>133</v>
      </c>
      <c r="C317" s="452">
        <v>1601</v>
      </c>
      <c r="D317" s="453">
        <v>1732</v>
      </c>
    </row>
    <row r="318" spans="1:4" x14ac:dyDescent="0.25">
      <c r="A318" s="380" t="s">
        <v>238</v>
      </c>
      <c r="B318" s="381" t="s">
        <v>133</v>
      </c>
      <c r="C318" s="452">
        <v>1601</v>
      </c>
      <c r="D318" s="453">
        <v>1732</v>
      </c>
    </row>
    <row r="319" spans="1:4" x14ac:dyDescent="0.25">
      <c r="A319" s="380" t="s">
        <v>165</v>
      </c>
      <c r="B319" s="381" t="s">
        <v>133</v>
      </c>
      <c r="C319" s="452">
        <v>1601</v>
      </c>
      <c r="D319" s="453">
        <v>1732</v>
      </c>
    </row>
    <row r="320" spans="1:4" x14ac:dyDescent="0.25">
      <c r="A320" s="380" t="s">
        <v>239</v>
      </c>
      <c r="B320" s="381" t="s">
        <v>133</v>
      </c>
      <c r="C320" s="452">
        <v>1601</v>
      </c>
      <c r="D320" s="453">
        <v>1732</v>
      </c>
    </row>
    <row r="321" spans="1:4" x14ac:dyDescent="0.25">
      <c r="A321" s="380" t="s">
        <v>240</v>
      </c>
      <c r="B321" s="381" t="s">
        <v>133</v>
      </c>
      <c r="C321" s="452">
        <v>1601</v>
      </c>
      <c r="D321" s="453">
        <v>1732</v>
      </c>
    </row>
    <row r="322" spans="1:4" x14ac:dyDescent="0.25">
      <c r="A322" s="380" t="s">
        <v>241</v>
      </c>
      <c r="B322" s="381" t="s">
        <v>133</v>
      </c>
      <c r="C322" s="452">
        <v>1601</v>
      </c>
      <c r="D322" s="453">
        <v>1732</v>
      </c>
    </row>
    <row r="323" spans="1:4" x14ac:dyDescent="0.25">
      <c r="A323" s="380" t="s">
        <v>242</v>
      </c>
      <c r="B323" s="381" t="s">
        <v>133</v>
      </c>
      <c r="C323" s="452">
        <v>1601</v>
      </c>
      <c r="D323" s="453">
        <v>1732</v>
      </c>
    </row>
    <row r="324" spans="1:4" x14ac:dyDescent="0.25">
      <c r="A324" s="380" t="s">
        <v>171</v>
      </c>
      <c r="B324" s="381" t="s">
        <v>133</v>
      </c>
      <c r="C324" s="452">
        <v>1601</v>
      </c>
      <c r="D324" s="453">
        <v>1732</v>
      </c>
    </row>
    <row r="325" spans="1:4" x14ac:dyDescent="0.25">
      <c r="A325" s="380" t="s">
        <v>243</v>
      </c>
      <c r="B325" s="381" t="s">
        <v>133</v>
      </c>
      <c r="C325" s="452">
        <v>1601</v>
      </c>
      <c r="D325" s="453">
        <v>1732</v>
      </c>
    </row>
    <row r="326" spans="1:4" x14ac:dyDescent="0.25">
      <c r="A326" s="380" t="s">
        <v>244</v>
      </c>
      <c r="B326" s="381" t="s">
        <v>133</v>
      </c>
      <c r="C326" s="452">
        <v>1601</v>
      </c>
      <c r="D326" s="453">
        <v>1732</v>
      </c>
    </row>
    <row r="327" spans="1:4" x14ac:dyDescent="0.25">
      <c r="A327" s="380" t="s">
        <v>245</v>
      </c>
      <c r="B327" s="381" t="s">
        <v>133</v>
      </c>
      <c r="C327" s="452">
        <v>1601</v>
      </c>
      <c r="D327" s="453">
        <v>1732</v>
      </c>
    </row>
    <row r="328" spans="1:4" x14ac:dyDescent="0.25">
      <c r="A328" s="380" t="s">
        <v>246</v>
      </c>
      <c r="B328" s="381" t="s">
        <v>133</v>
      </c>
      <c r="C328" s="452">
        <v>1601</v>
      </c>
      <c r="D328" s="453">
        <v>1732</v>
      </c>
    </row>
    <row r="329" spans="1:4" x14ac:dyDescent="0.25">
      <c r="A329" s="380" t="s">
        <v>247</v>
      </c>
      <c r="B329" s="381" t="s">
        <v>133</v>
      </c>
      <c r="C329" s="452">
        <v>1601</v>
      </c>
      <c r="D329" s="453">
        <v>1732</v>
      </c>
    </row>
    <row r="330" spans="1:4" x14ac:dyDescent="0.25">
      <c r="A330" s="380" t="s">
        <v>248</v>
      </c>
      <c r="B330" s="381" t="s">
        <v>133</v>
      </c>
      <c r="C330" s="452">
        <v>1601</v>
      </c>
      <c r="D330" s="453">
        <v>1732</v>
      </c>
    </row>
    <row r="331" spans="1:4" x14ac:dyDescent="0.25">
      <c r="A331" s="380" t="s">
        <v>174</v>
      </c>
      <c r="B331" s="381" t="s">
        <v>133</v>
      </c>
      <c r="C331" s="452">
        <v>1601</v>
      </c>
      <c r="D331" s="453">
        <v>1732</v>
      </c>
    </row>
    <row r="332" spans="1:4" x14ac:dyDescent="0.25">
      <c r="A332" s="380" t="s">
        <v>249</v>
      </c>
      <c r="B332" s="381" t="s">
        <v>133</v>
      </c>
      <c r="C332" s="452">
        <v>1601</v>
      </c>
      <c r="D332" s="453">
        <v>1732</v>
      </c>
    </row>
    <row r="333" spans="1:4" x14ac:dyDescent="0.25">
      <c r="A333" s="380" t="s">
        <v>250</v>
      </c>
      <c r="B333" s="381" t="s">
        <v>133</v>
      </c>
      <c r="C333" s="452">
        <v>1601</v>
      </c>
      <c r="D333" s="453">
        <v>1732</v>
      </c>
    </row>
    <row r="334" spans="1:4" x14ac:dyDescent="0.25">
      <c r="A334" s="380" t="s">
        <v>251</v>
      </c>
      <c r="B334" s="381" t="s">
        <v>133</v>
      </c>
      <c r="C334" s="452">
        <v>1601</v>
      </c>
      <c r="D334" s="453">
        <v>1732</v>
      </c>
    </row>
    <row r="335" spans="1:4" x14ac:dyDescent="0.25">
      <c r="A335" s="380" t="s">
        <v>252</v>
      </c>
      <c r="B335" s="381" t="s">
        <v>133</v>
      </c>
      <c r="C335" s="452">
        <v>1601</v>
      </c>
      <c r="D335" s="453">
        <v>1732</v>
      </c>
    </row>
    <row r="336" spans="1:4" x14ac:dyDescent="0.25">
      <c r="A336" s="380" t="s">
        <v>253</v>
      </c>
      <c r="B336" s="381" t="s">
        <v>133</v>
      </c>
      <c r="C336" s="452">
        <v>1601</v>
      </c>
      <c r="D336" s="453">
        <v>1732</v>
      </c>
    </row>
    <row r="337" spans="1:4" x14ac:dyDescent="0.25">
      <c r="A337" s="380" t="s">
        <v>254</v>
      </c>
      <c r="B337" s="381" t="s">
        <v>133</v>
      </c>
      <c r="C337" s="452">
        <v>1601</v>
      </c>
      <c r="D337" s="453">
        <v>1732</v>
      </c>
    </row>
    <row r="338" spans="1:4" x14ac:dyDescent="0.25">
      <c r="A338" s="380" t="s">
        <v>255</v>
      </c>
      <c r="B338" s="381" t="s">
        <v>133</v>
      </c>
      <c r="C338" s="452">
        <v>1601</v>
      </c>
      <c r="D338" s="453">
        <v>1732</v>
      </c>
    </row>
    <row r="339" spans="1:4" x14ac:dyDescent="0.25">
      <c r="A339" s="380" t="s">
        <v>256</v>
      </c>
      <c r="B339" s="381" t="s">
        <v>133</v>
      </c>
      <c r="C339" s="452">
        <v>1601</v>
      </c>
      <c r="D339" s="453">
        <v>1732</v>
      </c>
    </row>
    <row r="340" spans="1:4" x14ac:dyDescent="0.25">
      <c r="A340" s="380" t="s">
        <v>257</v>
      </c>
      <c r="B340" s="381" t="s">
        <v>133</v>
      </c>
      <c r="C340" s="452">
        <v>1601</v>
      </c>
      <c r="D340" s="453">
        <v>1732</v>
      </c>
    </row>
    <row r="341" spans="1:4" x14ac:dyDescent="0.25">
      <c r="A341" s="380" t="s">
        <v>258</v>
      </c>
      <c r="B341" s="381" t="s">
        <v>133</v>
      </c>
      <c r="C341" s="452">
        <v>1601</v>
      </c>
      <c r="D341" s="453">
        <v>1732</v>
      </c>
    </row>
    <row r="342" spans="1:4" x14ac:dyDescent="0.25">
      <c r="A342" s="380" t="s">
        <v>259</v>
      </c>
      <c r="B342" s="381" t="s">
        <v>133</v>
      </c>
      <c r="C342" s="452">
        <v>1601</v>
      </c>
      <c r="D342" s="453">
        <v>1732</v>
      </c>
    </row>
    <row r="343" spans="1:4" x14ac:dyDescent="0.25">
      <c r="A343" s="380" t="s">
        <v>260</v>
      </c>
      <c r="B343" s="381" t="s">
        <v>133</v>
      </c>
      <c r="C343" s="452">
        <v>1601</v>
      </c>
      <c r="D343" s="453">
        <v>1732</v>
      </c>
    </row>
    <row r="344" spans="1:4" x14ac:dyDescent="0.25">
      <c r="A344" s="380" t="s">
        <v>261</v>
      </c>
      <c r="B344" s="381" t="s">
        <v>133</v>
      </c>
      <c r="C344" s="452">
        <v>1601</v>
      </c>
      <c r="D344" s="453">
        <v>1732</v>
      </c>
    </row>
    <row r="345" spans="1:4" x14ac:dyDescent="0.25">
      <c r="A345" s="380" t="s">
        <v>262</v>
      </c>
      <c r="B345" s="381" t="s">
        <v>133</v>
      </c>
      <c r="C345" s="452">
        <v>1601</v>
      </c>
      <c r="D345" s="453">
        <v>1732</v>
      </c>
    </row>
    <row r="346" spans="1:4" x14ac:dyDescent="0.25">
      <c r="A346" s="380" t="s">
        <v>263</v>
      </c>
      <c r="B346" s="381" t="s">
        <v>133</v>
      </c>
      <c r="C346" s="452">
        <v>1601</v>
      </c>
      <c r="D346" s="453">
        <v>1732</v>
      </c>
    </row>
    <row r="347" spans="1:4" x14ac:dyDescent="0.25">
      <c r="A347" s="380" t="s">
        <v>264</v>
      </c>
      <c r="B347" s="381" t="s">
        <v>133</v>
      </c>
      <c r="C347" s="452">
        <v>1601</v>
      </c>
      <c r="D347" s="453">
        <v>1732</v>
      </c>
    </row>
    <row r="348" spans="1:4" x14ac:dyDescent="0.25">
      <c r="A348" s="380" t="s">
        <v>265</v>
      </c>
      <c r="B348" s="381" t="s">
        <v>133</v>
      </c>
      <c r="C348" s="452">
        <v>1601</v>
      </c>
      <c r="D348" s="453">
        <v>1732</v>
      </c>
    </row>
    <row r="349" spans="1:4" x14ac:dyDescent="0.25">
      <c r="A349" s="380" t="s">
        <v>266</v>
      </c>
      <c r="B349" s="381" t="s">
        <v>133</v>
      </c>
      <c r="C349" s="452">
        <v>1601</v>
      </c>
      <c r="D349" s="453">
        <v>1732</v>
      </c>
    </row>
    <row r="350" spans="1:4" x14ac:dyDescent="0.25">
      <c r="A350" s="380" t="s">
        <v>267</v>
      </c>
      <c r="B350" s="381" t="s">
        <v>133</v>
      </c>
      <c r="C350" s="452">
        <v>1601</v>
      </c>
      <c r="D350" s="453">
        <v>1732</v>
      </c>
    </row>
    <row r="351" spans="1:4" x14ac:dyDescent="0.25">
      <c r="A351" s="380" t="s">
        <v>268</v>
      </c>
      <c r="B351" s="381" t="s">
        <v>133</v>
      </c>
      <c r="C351" s="452">
        <v>1601</v>
      </c>
      <c r="D351" s="453">
        <v>1732</v>
      </c>
    </row>
    <row r="352" spans="1:4" x14ac:dyDescent="0.25">
      <c r="A352" s="380" t="s">
        <v>269</v>
      </c>
      <c r="B352" s="381" t="s">
        <v>133</v>
      </c>
      <c r="C352" s="452">
        <v>1601</v>
      </c>
      <c r="D352" s="453">
        <v>1732</v>
      </c>
    </row>
    <row r="353" spans="1:4" ht="15.75" thickBot="1" x14ac:dyDescent="0.3">
      <c r="A353" s="382" t="s">
        <v>270</v>
      </c>
      <c r="B353" s="383" t="s">
        <v>133</v>
      </c>
      <c r="C353" s="454">
        <v>1601</v>
      </c>
      <c r="D353" s="455">
        <v>1732</v>
      </c>
    </row>
    <row r="354" spans="1:4" ht="15.75" thickBot="1" x14ac:dyDescent="0.3">
      <c r="A354" s="317"/>
      <c r="B354" s="459"/>
      <c r="C354" s="317"/>
      <c r="D354" s="317"/>
    </row>
    <row r="355" spans="1:4" x14ac:dyDescent="0.25">
      <c r="A355" s="710" t="s">
        <v>748</v>
      </c>
      <c r="B355" s="711"/>
      <c r="C355" s="712"/>
      <c r="D355" s="317"/>
    </row>
    <row r="356" spans="1:4" x14ac:dyDescent="0.25">
      <c r="A356" s="394" t="s">
        <v>622</v>
      </c>
      <c r="B356" s="395"/>
      <c r="C356" s="456">
        <v>2136</v>
      </c>
      <c r="D356" s="317"/>
    </row>
    <row r="357" spans="1:4" ht="15.75" thickBot="1" x14ac:dyDescent="0.3">
      <c r="A357" s="396" t="s">
        <v>632</v>
      </c>
      <c r="B357" s="397"/>
      <c r="C357" s="457">
        <v>2286</v>
      </c>
      <c r="D357" s="317"/>
    </row>
  </sheetData>
  <sheetProtection password="DBEC" sheet="1" objects="1" scenarios="1"/>
  <mergeCells count="2">
    <mergeCell ref="A1:D1"/>
    <mergeCell ref="A355:C355"/>
  </mergeCells>
  <pageMargins left="0.25" right="0.25" top="0.75" bottom="0.75" header="0.3" footer="0.3"/>
  <pageSetup scale="73"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93"/>
  <sheetViews>
    <sheetView topLeftCell="B1" workbookViewId="0">
      <selection activeCell="D14" sqref="D14"/>
    </sheetView>
  </sheetViews>
  <sheetFormatPr defaultRowHeight="15" x14ac:dyDescent="0.25"/>
  <cols>
    <col min="1" max="1" width="11" style="317" hidden="1" customWidth="1"/>
    <col min="2" max="2" width="11" style="345" customWidth="1"/>
    <col min="3" max="3" width="10" style="317" customWidth="1"/>
    <col min="4" max="4" width="17.28515625" style="317" customWidth="1"/>
    <col min="5" max="5" width="9.140625" style="317"/>
    <col min="6" max="6" width="14" style="317" customWidth="1"/>
    <col min="7" max="7" width="10.28515625" style="317" customWidth="1"/>
    <col min="8" max="8" width="20.85546875" style="317" customWidth="1"/>
    <col min="9" max="9" width="9.140625" style="317"/>
    <col min="10" max="18" width="0" style="317" hidden="1" customWidth="1"/>
    <col min="19" max="19" width="11" style="317" hidden="1" customWidth="1"/>
    <col min="20" max="23" width="0" style="317" hidden="1" customWidth="1"/>
    <col min="24" max="16384" width="9.140625" style="317"/>
  </cols>
  <sheetData>
    <row r="1" spans="1:19" ht="51.75" customHeight="1" thickTop="1" x14ac:dyDescent="0.25">
      <c r="A1" s="403"/>
      <c r="B1" s="439" t="s">
        <v>774</v>
      </c>
      <c r="C1" s="438" t="s">
        <v>773</v>
      </c>
      <c r="D1" s="445" t="s">
        <v>775</v>
      </c>
      <c r="E1" s="289"/>
      <c r="F1" s="713" t="s">
        <v>135</v>
      </c>
      <c r="G1" s="714"/>
      <c r="H1" s="715"/>
      <c r="I1" s="343"/>
      <c r="J1" s="343"/>
      <c r="S1" s="404" t="s">
        <v>772</v>
      </c>
    </row>
    <row r="2" spans="1:19" x14ac:dyDescent="0.25">
      <c r="A2" s="401">
        <v>0</v>
      </c>
      <c r="B2" s="440">
        <v>0</v>
      </c>
      <c r="C2" s="446">
        <v>11.91</v>
      </c>
      <c r="D2" s="449">
        <f>C2*365/12</f>
        <v>362.26249999999999</v>
      </c>
      <c r="E2" s="289"/>
      <c r="F2" s="371" t="s">
        <v>131</v>
      </c>
      <c r="G2" s="372">
        <v>1601</v>
      </c>
      <c r="H2" s="373" t="s">
        <v>132</v>
      </c>
      <c r="I2" s="344"/>
      <c r="K2" s="345"/>
      <c r="S2" s="402">
        <v>0</v>
      </c>
    </row>
    <row r="3" spans="1:19" x14ac:dyDescent="0.25">
      <c r="A3" s="369">
        <v>12.76</v>
      </c>
      <c r="B3" s="441">
        <v>12.77</v>
      </c>
      <c r="C3" s="447">
        <v>16.52</v>
      </c>
      <c r="D3" s="450">
        <f>ROUND(C3*365/12,0)</f>
        <v>502</v>
      </c>
      <c r="E3" s="289"/>
      <c r="F3" s="374" t="s">
        <v>133</v>
      </c>
      <c r="G3" s="375">
        <v>1601</v>
      </c>
      <c r="H3" s="376" t="s">
        <v>132</v>
      </c>
      <c r="I3" s="344"/>
      <c r="S3" s="367">
        <v>12.77</v>
      </c>
    </row>
    <row r="4" spans="1:19" x14ac:dyDescent="0.25">
      <c r="A4" s="369">
        <v>17.22</v>
      </c>
      <c r="B4" s="441">
        <v>17.23</v>
      </c>
      <c r="C4" s="447">
        <v>20.72</v>
      </c>
      <c r="D4" s="450">
        <f t="shared" ref="D4:D32" si="0">C4*365/12</f>
        <v>630.23333333333323</v>
      </c>
      <c r="E4" s="289"/>
      <c r="F4" s="374" t="s">
        <v>134</v>
      </c>
      <c r="G4" s="375">
        <v>1732</v>
      </c>
      <c r="H4" s="376" t="s">
        <v>132</v>
      </c>
      <c r="I4" s="344"/>
      <c r="S4" s="367">
        <v>17.23</v>
      </c>
    </row>
    <row r="5" spans="1:19" ht="15.75" thickBot="1" x14ac:dyDescent="0.3">
      <c r="A5" s="369">
        <v>21.68</v>
      </c>
      <c r="B5" s="441">
        <v>21.69</v>
      </c>
      <c r="C5" s="447">
        <v>25.39</v>
      </c>
      <c r="D5" s="450">
        <f t="shared" si="0"/>
        <v>772.2791666666667</v>
      </c>
      <c r="E5" s="289"/>
      <c r="F5" s="377" t="s">
        <v>126</v>
      </c>
      <c r="G5" s="378">
        <v>1966</v>
      </c>
      <c r="H5" s="379" t="s">
        <v>132</v>
      </c>
      <c r="I5" s="344"/>
      <c r="S5" s="367">
        <v>21.69</v>
      </c>
    </row>
    <row r="6" spans="1:19" ht="16.5" thickTop="1" x14ac:dyDescent="0.25">
      <c r="A6" s="369">
        <v>26.15</v>
      </c>
      <c r="B6" s="441">
        <v>26.16</v>
      </c>
      <c r="C6" s="447">
        <v>29.89</v>
      </c>
      <c r="D6" s="450">
        <f t="shared" si="0"/>
        <v>909.1541666666667</v>
      </c>
      <c r="E6" s="289"/>
      <c r="F6" s="347"/>
      <c r="G6" s="348"/>
      <c r="H6" s="289"/>
      <c r="S6" s="367">
        <v>26.16</v>
      </c>
    </row>
    <row r="7" spans="1:19" ht="15.75" x14ac:dyDescent="0.25">
      <c r="A7" s="369">
        <v>30.6</v>
      </c>
      <c r="B7" s="441">
        <v>30.610000000000003</v>
      </c>
      <c r="C7" s="447">
        <v>34.21</v>
      </c>
      <c r="D7" s="450">
        <f t="shared" si="0"/>
        <v>1040.5541666666666</v>
      </c>
      <c r="E7" s="289"/>
      <c r="F7" s="347"/>
      <c r="G7" s="348"/>
      <c r="H7" s="289"/>
      <c r="S7" s="367">
        <v>30.610000000000003</v>
      </c>
    </row>
    <row r="8" spans="1:19" ht="15.75" x14ac:dyDescent="0.25">
      <c r="A8" s="369">
        <v>35.07</v>
      </c>
      <c r="B8" s="441">
        <v>35.08</v>
      </c>
      <c r="C8" s="447">
        <v>38.64</v>
      </c>
      <c r="D8" s="450">
        <f t="shared" si="0"/>
        <v>1175.3</v>
      </c>
      <c r="E8" s="289"/>
      <c r="F8" s="349"/>
      <c r="G8" s="348"/>
      <c r="H8" s="289"/>
      <c r="S8" s="367">
        <v>35.08</v>
      </c>
    </row>
    <row r="9" spans="1:19" ht="15.75" x14ac:dyDescent="0.25">
      <c r="A9" s="369">
        <v>39.520000000000003</v>
      </c>
      <c r="B9" s="441">
        <v>39.53</v>
      </c>
      <c r="C9" s="447">
        <v>43.05</v>
      </c>
      <c r="D9" s="450">
        <f t="shared" si="0"/>
        <v>1309.4374999999998</v>
      </c>
      <c r="E9" s="289"/>
      <c r="F9" s="349"/>
      <c r="G9" s="348"/>
      <c r="H9" s="289"/>
      <c r="S9" s="367">
        <v>39.53</v>
      </c>
    </row>
    <row r="10" spans="1:19" ht="15.75" x14ac:dyDescent="0.25">
      <c r="A10" s="369">
        <v>43.98</v>
      </c>
      <c r="B10" s="441">
        <v>43.989999999999995</v>
      </c>
      <c r="C10" s="447">
        <v>47.82</v>
      </c>
      <c r="D10" s="450">
        <f t="shared" si="0"/>
        <v>1454.5249999999999</v>
      </c>
      <c r="E10" s="289"/>
      <c r="F10" s="349"/>
      <c r="G10" s="348"/>
      <c r="H10" s="289"/>
      <c r="S10" s="367">
        <v>43.989999999999995</v>
      </c>
    </row>
    <row r="11" spans="1:19" ht="15.75" x14ac:dyDescent="0.25">
      <c r="A11" s="369">
        <v>48.44</v>
      </c>
      <c r="B11" s="441">
        <v>48.449999999999996</v>
      </c>
      <c r="C11" s="447">
        <v>52.62</v>
      </c>
      <c r="D11" s="450">
        <f t="shared" si="0"/>
        <v>1600.5249999999999</v>
      </c>
      <c r="E11" s="289"/>
      <c r="F11" s="349"/>
      <c r="G11" s="348"/>
      <c r="H11" s="289"/>
      <c r="S11" s="367">
        <v>48.449999999999996</v>
      </c>
    </row>
    <row r="12" spans="1:19" ht="15.75" x14ac:dyDescent="0.25">
      <c r="A12" s="369">
        <v>52.9</v>
      </c>
      <c r="B12" s="441">
        <v>52.91</v>
      </c>
      <c r="C12" s="447">
        <v>56.94</v>
      </c>
      <c r="D12" s="450">
        <f t="shared" si="0"/>
        <v>1731.925</v>
      </c>
      <c r="E12" s="289"/>
      <c r="F12" s="349"/>
      <c r="G12" s="348"/>
      <c r="H12" s="289"/>
      <c r="S12" s="367">
        <v>52.91</v>
      </c>
    </row>
    <row r="13" spans="1:19" ht="15.75" x14ac:dyDescent="0.25">
      <c r="A13" s="369">
        <v>57.36</v>
      </c>
      <c r="B13" s="441">
        <v>57.37</v>
      </c>
      <c r="C13" s="447">
        <v>61.51</v>
      </c>
      <c r="D13" s="450">
        <f t="shared" si="0"/>
        <v>1870.9291666666666</v>
      </c>
      <c r="E13" s="289"/>
      <c r="F13" s="349"/>
      <c r="G13" s="348"/>
      <c r="H13" s="289"/>
      <c r="S13" s="367">
        <v>57.37</v>
      </c>
    </row>
    <row r="14" spans="1:19" ht="15.75" x14ac:dyDescent="0.25">
      <c r="A14" s="369">
        <v>61.82</v>
      </c>
      <c r="B14" s="441">
        <v>61.83</v>
      </c>
      <c r="C14" s="447">
        <v>64.64</v>
      </c>
      <c r="D14" s="450">
        <f t="shared" si="0"/>
        <v>1966.1333333333332</v>
      </c>
      <c r="E14" s="289"/>
      <c r="F14" s="349"/>
      <c r="G14" s="348"/>
      <c r="H14" s="289"/>
      <c r="S14" s="367">
        <v>61.83</v>
      </c>
    </row>
    <row r="15" spans="1:19" ht="15.75" x14ac:dyDescent="0.25">
      <c r="A15" s="369">
        <v>66.28</v>
      </c>
      <c r="B15" s="441">
        <v>66.290000000000006</v>
      </c>
      <c r="C15" s="447">
        <v>70.239999999999995</v>
      </c>
      <c r="D15" s="450">
        <f t="shared" si="0"/>
        <v>2136.4666666666667</v>
      </c>
      <c r="E15" s="289"/>
      <c r="F15" s="349"/>
      <c r="G15" s="348"/>
      <c r="H15" s="289"/>
      <c r="S15" s="367">
        <v>66.290000000000006</v>
      </c>
    </row>
    <row r="16" spans="1:19" ht="15.75" x14ac:dyDescent="0.25">
      <c r="A16" s="369">
        <v>70.739999999999995</v>
      </c>
      <c r="B16" s="441">
        <v>70.75</v>
      </c>
      <c r="C16" s="447">
        <v>75.14</v>
      </c>
      <c r="D16" s="450">
        <f t="shared" si="0"/>
        <v>2285.5083333333332</v>
      </c>
      <c r="E16" s="289"/>
      <c r="F16" s="349"/>
      <c r="G16" s="348"/>
      <c r="H16" s="289"/>
      <c r="S16" s="367">
        <v>70.75</v>
      </c>
    </row>
    <row r="17" spans="1:19" ht="15.75" x14ac:dyDescent="0.25">
      <c r="A17" s="369">
        <v>75.2</v>
      </c>
      <c r="B17" s="441">
        <v>75.210000000000008</v>
      </c>
      <c r="C17" s="447">
        <v>79.58</v>
      </c>
      <c r="D17" s="450">
        <f t="shared" si="0"/>
        <v>2420.5583333333334</v>
      </c>
      <c r="E17" s="289"/>
      <c r="F17" s="349"/>
      <c r="G17" s="348"/>
      <c r="H17" s="289"/>
      <c r="S17" s="367">
        <v>75.210000000000008</v>
      </c>
    </row>
    <row r="18" spans="1:19" ht="15.75" x14ac:dyDescent="0.25">
      <c r="A18" s="369">
        <v>79.66</v>
      </c>
      <c r="B18" s="441">
        <v>79.67</v>
      </c>
      <c r="C18" s="447">
        <v>84.62</v>
      </c>
      <c r="D18" s="450">
        <f t="shared" si="0"/>
        <v>2573.8583333333336</v>
      </c>
      <c r="E18" s="289"/>
      <c r="F18" s="349"/>
      <c r="G18" s="348"/>
      <c r="H18" s="289"/>
      <c r="S18" s="367">
        <v>79.67</v>
      </c>
    </row>
    <row r="19" spans="1:19" ht="15.75" x14ac:dyDescent="0.25">
      <c r="A19" s="369">
        <v>84.12</v>
      </c>
      <c r="B19" s="441">
        <v>84.13000000000001</v>
      </c>
      <c r="C19" s="447">
        <v>89.52</v>
      </c>
      <c r="D19" s="450">
        <f t="shared" si="0"/>
        <v>2722.9</v>
      </c>
      <c r="E19" s="289"/>
      <c r="F19" s="349"/>
      <c r="G19" s="348"/>
      <c r="H19" s="289"/>
      <c r="S19" s="367">
        <v>84.13000000000001</v>
      </c>
    </row>
    <row r="20" spans="1:19" ht="15.75" x14ac:dyDescent="0.25">
      <c r="A20" s="369">
        <v>88.58</v>
      </c>
      <c r="B20" s="441">
        <v>88.59</v>
      </c>
      <c r="C20" s="447">
        <v>94.47</v>
      </c>
      <c r="D20" s="450">
        <f t="shared" si="0"/>
        <v>2873.4625000000001</v>
      </c>
      <c r="E20" s="289"/>
      <c r="F20" s="349"/>
      <c r="G20" s="348"/>
      <c r="H20" s="289"/>
      <c r="S20" s="367">
        <v>88.59</v>
      </c>
    </row>
    <row r="21" spans="1:19" ht="15.75" x14ac:dyDescent="0.25">
      <c r="A21" s="369">
        <v>94.15</v>
      </c>
      <c r="B21" s="441">
        <v>94.160000000000011</v>
      </c>
      <c r="C21" s="447">
        <v>99.34</v>
      </c>
      <c r="D21" s="450">
        <f t="shared" si="0"/>
        <v>3021.5916666666667</v>
      </c>
      <c r="E21" s="289"/>
      <c r="F21" s="349"/>
      <c r="G21" s="348"/>
      <c r="H21" s="289"/>
      <c r="S21" s="367">
        <v>94.160000000000011</v>
      </c>
    </row>
    <row r="22" spans="1:19" ht="15.75" x14ac:dyDescent="0.25">
      <c r="A22" s="369">
        <v>99.73</v>
      </c>
      <c r="B22" s="441">
        <v>99.740000000000009</v>
      </c>
      <c r="C22" s="447">
        <v>102.75</v>
      </c>
      <c r="D22" s="450">
        <f t="shared" si="0"/>
        <v>3125.3125</v>
      </c>
      <c r="E22" s="289"/>
      <c r="F22" s="349"/>
      <c r="G22" s="348"/>
      <c r="H22" s="289"/>
      <c r="S22" s="367">
        <v>99.740000000000009</v>
      </c>
    </row>
    <row r="23" spans="1:19" ht="15.75" x14ac:dyDescent="0.25">
      <c r="A23" s="369">
        <v>103.07</v>
      </c>
      <c r="B23" s="441">
        <v>103.08</v>
      </c>
      <c r="C23" s="447">
        <v>107.38</v>
      </c>
      <c r="D23" s="450">
        <f t="shared" si="0"/>
        <v>3266.1416666666664</v>
      </c>
      <c r="E23" s="289"/>
      <c r="F23" s="349"/>
      <c r="G23" s="348"/>
      <c r="H23" s="289"/>
      <c r="S23" s="367">
        <v>103.08</v>
      </c>
    </row>
    <row r="24" spans="1:19" ht="15.75" x14ac:dyDescent="0.25">
      <c r="A24" s="369">
        <v>107.53</v>
      </c>
      <c r="B24" s="441">
        <v>107.54</v>
      </c>
      <c r="C24" s="447">
        <v>112</v>
      </c>
      <c r="D24" s="450">
        <f t="shared" si="0"/>
        <v>3406.6666666666665</v>
      </c>
      <c r="E24" s="289"/>
      <c r="F24" s="349"/>
      <c r="G24" s="348"/>
      <c r="H24" s="289"/>
      <c r="S24" s="367">
        <v>107.54</v>
      </c>
    </row>
    <row r="25" spans="1:19" ht="15.75" x14ac:dyDescent="0.25">
      <c r="A25" s="369">
        <v>111.99</v>
      </c>
      <c r="B25" s="441">
        <v>112</v>
      </c>
      <c r="C25" s="447">
        <v>116.63</v>
      </c>
      <c r="D25" s="450">
        <f t="shared" si="0"/>
        <v>3547.4958333333329</v>
      </c>
      <c r="E25" s="289"/>
      <c r="F25" s="349"/>
      <c r="G25" s="348"/>
      <c r="H25" s="289"/>
      <c r="S25" s="367">
        <v>112</v>
      </c>
    </row>
    <row r="26" spans="1:19" ht="15.75" x14ac:dyDescent="0.25">
      <c r="A26" s="369">
        <v>116.45</v>
      </c>
      <c r="B26" s="441">
        <v>116.46000000000001</v>
      </c>
      <c r="C26" s="447">
        <v>121.26</v>
      </c>
      <c r="D26" s="450">
        <f t="shared" si="0"/>
        <v>3688.3250000000003</v>
      </c>
      <c r="E26" s="289"/>
      <c r="F26" s="349"/>
      <c r="G26" s="348"/>
      <c r="H26" s="289"/>
      <c r="S26" s="367">
        <v>116.46000000000001</v>
      </c>
    </row>
    <row r="27" spans="1:19" ht="15.75" x14ac:dyDescent="0.25">
      <c r="A27" s="369">
        <v>120.91</v>
      </c>
      <c r="B27" s="441">
        <v>120.92</v>
      </c>
      <c r="C27" s="447">
        <v>125.9</v>
      </c>
      <c r="D27" s="450">
        <f t="shared" si="0"/>
        <v>3829.4583333333335</v>
      </c>
      <c r="E27" s="289"/>
      <c r="F27" s="349"/>
      <c r="G27" s="348"/>
      <c r="H27" s="289"/>
      <c r="S27" s="367">
        <v>120.92</v>
      </c>
    </row>
    <row r="28" spans="1:19" ht="15.75" x14ac:dyDescent="0.25">
      <c r="A28" s="369">
        <v>125.37</v>
      </c>
      <c r="B28" s="441">
        <v>125.38000000000001</v>
      </c>
      <c r="C28" s="447">
        <v>130.53</v>
      </c>
      <c r="D28" s="450">
        <f t="shared" si="0"/>
        <v>3970.2874999999999</v>
      </c>
      <c r="E28" s="289"/>
      <c r="F28" s="349"/>
      <c r="G28" s="348"/>
      <c r="H28" s="289"/>
      <c r="S28" s="367">
        <v>125.38000000000001</v>
      </c>
    </row>
    <row r="29" spans="1:19" ht="15.75" x14ac:dyDescent="0.25">
      <c r="A29" s="369">
        <v>129.83000000000001</v>
      </c>
      <c r="B29" s="441">
        <v>129.84</v>
      </c>
      <c r="C29" s="447">
        <v>135.15</v>
      </c>
      <c r="D29" s="450">
        <f t="shared" si="0"/>
        <v>4110.8125</v>
      </c>
      <c r="E29" s="289"/>
      <c r="F29" s="349"/>
      <c r="G29" s="348"/>
      <c r="H29" s="289"/>
      <c r="S29" s="367">
        <v>129.84</v>
      </c>
    </row>
    <row r="30" spans="1:19" ht="15.75" x14ac:dyDescent="0.25">
      <c r="A30" s="369">
        <v>134.29</v>
      </c>
      <c r="B30" s="441">
        <v>134.29999999999998</v>
      </c>
      <c r="C30" s="447">
        <v>139.78</v>
      </c>
      <c r="D30" s="450">
        <f t="shared" si="0"/>
        <v>4251.6416666666664</v>
      </c>
      <c r="E30" s="289"/>
      <c r="F30" s="349"/>
      <c r="G30" s="348"/>
      <c r="H30" s="289"/>
      <c r="S30" s="367">
        <v>134.29999999999998</v>
      </c>
    </row>
    <row r="31" spans="1:19" ht="15.75" x14ac:dyDescent="0.25">
      <c r="A31" s="369">
        <v>138.75</v>
      </c>
      <c r="B31" s="441">
        <v>138.76</v>
      </c>
      <c r="C31" s="447">
        <v>144.41</v>
      </c>
      <c r="D31" s="450">
        <f t="shared" si="0"/>
        <v>4392.4708333333338</v>
      </c>
      <c r="E31" s="289"/>
      <c r="F31" s="349"/>
      <c r="G31" s="348"/>
      <c r="H31" s="289"/>
      <c r="S31" s="367">
        <v>138.76</v>
      </c>
    </row>
    <row r="32" spans="1:19" ht="15.75" thickBot="1" x14ac:dyDescent="0.3">
      <c r="A32" s="370">
        <v>143.21</v>
      </c>
      <c r="B32" s="442">
        <v>143.22</v>
      </c>
      <c r="C32" s="448">
        <v>149.69999999999999</v>
      </c>
      <c r="D32" s="451">
        <f t="shared" si="0"/>
        <v>4553.3749999999991</v>
      </c>
      <c r="E32" s="289"/>
      <c r="F32" s="349"/>
      <c r="G32" s="289"/>
      <c r="H32" s="289"/>
      <c r="S32" s="368">
        <v>143.22</v>
      </c>
    </row>
    <row r="33" spans="1:19" x14ac:dyDescent="0.25">
      <c r="A33" s="346"/>
      <c r="B33" s="443"/>
      <c r="C33" s="289"/>
      <c r="D33" s="289"/>
      <c r="E33" s="289"/>
      <c r="F33" s="289"/>
      <c r="G33" s="289"/>
      <c r="H33" s="289"/>
      <c r="S33" s="346"/>
    </row>
    <row r="34" spans="1:19" hidden="1" x14ac:dyDescent="0.25">
      <c r="A34" s="289"/>
      <c r="B34" s="444"/>
      <c r="C34" s="289"/>
      <c r="D34" s="289"/>
      <c r="E34" s="289"/>
      <c r="F34" s="289"/>
      <c r="G34" s="289"/>
      <c r="H34" s="289"/>
      <c r="S34" s="289"/>
    </row>
    <row r="35" spans="1:19" hidden="1" x14ac:dyDescent="0.25">
      <c r="A35" s="289"/>
      <c r="B35" s="444"/>
      <c r="C35" s="289"/>
      <c r="D35" s="289"/>
      <c r="E35" s="289"/>
      <c r="F35" s="289"/>
      <c r="G35" s="289"/>
      <c r="H35" s="289"/>
      <c r="S35" s="289"/>
    </row>
    <row r="36" spans="1:19" hidden="1" x14ac:dyDescent="0.25"/>
    <row r="37" spans="1:19" hidden="1" x14ac:dyDescent="0.25"/>
    <row r="38" spans="1:19" hidden="1" x14ac:dyDescent="0.25"/>
    <row r="39" spans="1:19" hidden="1" x14ac:dyDescent="0.25"/>
    <row r="40" spans="1:19" hidden="1" x14ac:dyDescent="0.25"/>
    <row r="41" spans="1:19" hidden="1" x14ac:dyDescent="0.25"/>
    <row r="42" spans="1:19" hidden="1" x14ac:dyDescent="0.25"/>
    <row r="43" spans="1:19" hidden="1" x14ac:dyDescent="0.25"/>
    <row r="44" spans="1:19" hidden="1" x14ac:dyDescent="0.25"/>
    <row r="45" spans="1:19" hidden="1" x14ac:dyDescent="0.25"/>
    <row r="46" spans="1:19" hidden="1" x14ac:dyDescent="0.25"/>
    <row r="47" spans="1:19" hidden="1" x14ac:dyDescent="0.25"/>
    <row r="48" spans="1:19"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sheetData>
  <sheetProtection password="DBEC" sheet="1" objects="1" scenarios="1"/>
  <mergeCells count="1">
    <mergeCell ref="F1:H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I23"/>
  <sheetViews>
    <sheetView zoomScale="145" zoomScaleNormal="145" workbookViewId="0">
      <selection activeCell="B1" sqref="B1:D1"/>
    </sheetView>
  </sheetViews>
  <sheetFormatPr defaultRowHeight="12" x14ac:dyDescent="0.2"/>
  <cols>
    <col min="1" max="1" width="9.140625" style="22"/>
    <col min="2" max="2" width="51.42578125" style="22" customWidth="1"/>
    <col min="3" max="3" width="11.85546875" style="22" customWidth="1"/>
    <col min="4" max="4" width="10.7109375" style="22" customWidth="1"/>
    <col min="5" max="16384" width="9.140625" style="22"/>
  </cols>
  <sheetData>
    <row r="1" spans="2:9" ht="35.25" customHeight="1" thickBot="1" x14ac:dyDescent="0.25">
      <c r="B1" s="716" t="s">
        <v>46</v>
      </c>
      <c r="C1" s="717"/>
      <c r="D1" s="718"/>
      <c r="E1" s="21"/>
      <c r="F1" s="21"/>
      <c r="G1" s="21"/>
      <c r="H1" s="21"/>
      <c r="I1" s="21"/>
    </row>
    <row r="3" spans="2:9" x14ac:dyDescent="0.2">
      <c r="B3" s="26" t="s">
        <v>47</v>
      </c>
      <c r="C3" s="26" t="s">
        <v>48</v>
      </c>
      <c r="D3" s="26" t="s">
        <v>49</v>
      </c>
    </row>
    <row r="4" spans="2:9" x14ac:dyDescent="0.2">
      <c r="B4" s="27" t="s">
        <v>32</v>
      </c>
    </row>
    <row r="5" spans="2:9" x14ac:dyDescent="0.2">
      <c r="B5" s="28" t="s">
        <v>33</v>
      </c>
      <c r="C5" s="29">
        <v>40</v>
      </c>
      <c r="D5" s="30">
        <v>2.5000000000000001E-2</v>
      </c>
    </row>
    <row r="6" spans="2:9" x14ac:dyDescent="0.2">
      <c r="B6" s="31" t="s">
        <v>34</v>
      </c>
      <c r="C6" s="32"/>
      <c r="D6" s="33"/>
    </row>
    <row r="7" spans="2:9" x14ac:dyDescent="0.2">
      <c r="B7" s="31" t="s">
        <v>35</v>
      </c>
      <c r="C7" s="32"/>
      <c r="D7" s="33"/>
    </row>
    <row r="8" spans="2:9" x14ac:dyDescent="0.2">
      <c r="B8" s="34" t="s">
        <v>36</v>
      </c>
      <c r="C8" s="35"/>
      <c r="D8" s="36"/>
    </row>
    <row r="9" spans="2:9" x14ac:dyDescent="0.2">
      <c r="B9" s="28" t="s">
        <v>37</v>
      </c>
      <c r="C9" s="29">
        <v>27.5</v>
      </c>
      <c r="D9" s="30">
        <v>3.5999999999999997E-2</v>
      </c>
    </row>
    <row r="10" spans="2:9" x14ac:dyDescent="0.2">
      <c r="B10" s="31" t="s">
        <v>38</v>
      </c>
      <c r="C10" s="32"/>
      <c r="D10" s="33"/>
    </row>
    <row r="11" spans="2:9" x14ac:dyDescent="0.2">
      <c r="B11" s="31" t="s">
        <v>39</v>
      </c>
      <c r="C11" s="32"/>
      <c r="D11" s="33"/>
    </row>
    <row r="12" spans="2:9" x14ac:dyDescent="0.2">
      <c r="B12" s="34" t="s">
        <v>40</v>
      </c>
      <c r="C12" s="35"/>
      <c r="D12" s="36"/>
    </row>
    <row r="13" spans="2:9" x14ac:dyDescent="0.2">
      <c r="B13" s="28" t="s">
        <v>109</v>
      </c>
      <c r="C13" s="29">
        <v>20</v>
      </c>
      <c r="D13" s="30">
        <v>0.05</v>
      </c>
    </row>
    <row r="14" spans="2:9" ht="12" customHeight="1" x14ac:dyDescent="0.25">
      <c r="B14" s="28" t="s">
        <v>108</v>
      </c>
      <c r="C14" s="719"/>
      <c r="D14" s="720"/>
    </row>
    <row r="15" spans="2:9" x14ac:dyDescent="0.2">
      <c r="B15" s="37" t="s">
        <v>50</v>
      </c>
      <c r="C15" s="38">
        <v>10</v>
      </c>
      <c r="D15" s="39">
        <v>0.1</v>
      </c>
    </row>
    <row r="16" spans="2:9" x14ac:dyDescent="0.2">
      <c r="B16" s="28" t="s">
        <v>113</v>
      </c>
      <c r="C16" s="29">
        <v>5</v>
      </c>
      <c r="D16" s="30">
        <v>0.2</v>
      </c>
    </row>
    <row r="17" spans="2:4" x14ac:dyDescent="0.2">
      <c r="B17" s="34" t="s">
        <v>114</v>
      </c>
      <c r="C17" s="35"/>
      <c r="D17" s="36"/>
    </row>
    <row r="18" spans="2:4" x14ac:dyDescent="0.2">
      <c r="B18" s="28" t="s">
        <v>41</v>
      </c>
      <c r="C18" s="29">
        <v>5</v>
      </c>
      <c r="D18" s="30">
        <v>0.2</v>
      </c>
    </row>
    <row r="19" spans="2:4" x14ac:dyDescent="0.2">
      <c r="B19" s="31" t="s">
        <v>42</v>
      </c>
      <c r="C19" s="32"/>
      <c r="D19" s="33"/>
    </row>
    <row r="20" spans="2:4" x14ac:dyDescent="0.2">
      <c r="B20" s="31" t="s">
        <v>43</v>
      </c>
      <c r="C20" s="32"/>
      <c r="D20" s="33"/>
    </row>
    <row r="21" spans="2:4" x14ac:dyDescent="0.2">
      <c r="B21" s="31" t="s">
        <v>44</v>
      </c>
      <c r="C21" s="32"/>
      <c r="D21" s="33"/>
    </row>
    <row r="22" spans="2:4" x14ac:dyDescent="0.2">
      <c r="B22" s="31" t="s">
        <v>45</v>
      </c>
      <c r="C22" s="32"/>
      <c r="D22" s="33"/>
    </row>
    <row r="23" spans="2:4" x14ac:dyDescent="0.2">
      <c r="B23" s="37" t="s">
        <v>51</v>
      </c>
      <c r="C23" s="38">
        <v>3</v>
      </c>
      <c r="D23" s="39">
        <v>0.33329999999999999</v>
      </c>
    </row>
  </sheetData>
  <sheetProtection password="DBEC" sheet="1" objects="1" scenarios="1" selectLockedCells="1" selectUnlockedCells="1"/>
  <mergeCells count="2">
    <mergeCell ref="B1:D1"/>
    <mergeCell ref="C14:D1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8"/>
  <sheetViews>
    <sheetView workbookViewId="0">
      <selection activeCell="F22" sqref="F22"/>
    </sheetView>
  </sheetViews>
  <sheetFormatPr defaultRowHeight="15" x14ac:dyDescent="0.25"/>
  <cols>
    <col min="1" max="1" width="3.42578125" style="40" customWidth="1"/>
    <col min="2" max="2" width="85.85546875" style="40" customWidth="1"/>
    <col min="3" max="13" width="9.140625" style="40"/>
  </cols>
  <sheetData>
    <row r="1" spans="1:13" ht="15.75" x14ac:dyDescent="0.25">
      <c r="B1" s="41" t="s">
        <v>22</v>
      </c>
      <c r="C1" s="42"/>
    </row>
    <row r="2" spans="1:13" x14ac:dyDescent="0.25">
      <c r="B2" s="41" t="s">
        <v>23</v>
      </c>
    </row>
    <row r="3" spans="1:13" ht="44.25" customHeight="1" x14ac:dyDescent="0.25">
      <c r="B3" s="43" t="s">
        <v>59</v>
      </c>
    </row>
    <row r="4" spans="1:13" ht="17.25" customHeight="1" x14ac:dyDescent="0.25">
      <c r="B4" s="43" t="s">
        <v>18</v>
      </c>
    </row>
    <row r="5" spans="1:13" ht="36" customHeight="1" x14ac:dyDescent="0.25">
      <c r="B5" s="43" t="s">
        <v>19</v>
      </c>
    </row>
    <row r="6" spans="1:13" ht="25.5" customHeight="1" x14ac:dyDescent="0.25">
      <c r="B6" s="43" t="s">
        <v>20</v>
      </c>
    </row>
    <row r="7" spans="1:13" ht="36.75" customHeight="1" x14ac:dyDescent="0.25">
      <c r="B7" s="43" t="s">
        <v>21</v>
      </c>
    </row>
    <row r="8" spans="1:13" s="1" customFormat="1" ht="15" customHeight="1" x14ac:dyDescent="0.25">
      <c r="A8" s="40"/>
      <c r="B8" s="43"/>
      <c r="C8" s="40"/>
      <c r="D8" s="40"/>
      <c r="E8" s="40"/>
      <c r="F8" s="40"/>
      <c r="G8" s="40"/>
      <c r="H8" s="40"/>
      <c r="I8" s="40"/>
      <c r="J8" s="40"/>
      <c r="K8" s="40"/>
      <c r="L8" s="40"/>
      <c r="M8" s="40"/>
    </row>
  </sheetData>
  <sheetProtection password="DBEC" sheet="1" objects="1" scenarios="1" selectLockedCells="1" selectUnlockedCell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Z7"/>
  <sheetViews>
    <sheetView workbookViewId="0">
      <selection activeCell="T14" sqref="T14"/>
    </sheetView>
  </sheetViews>
  <sheetFormatPr defaultRowHeight="15" x14ac:dyDescent="0.25"/>
  <cols>
    <col min="2" max="2" width="10.85546875" customWidth="1"/>
    <col min="14" max="14" width="6.28515625" customWidth="1"/>
    <col min="15" max="15" width="2.85546875" customWidth="1"/>
    <col min="17" max="17" width="9.140625" style="299"/>
    <col min="18" max="18" width="6.5703125" customWidth="1"/>
    <col min="20" max="20" width="9.28515625" bestFit="1" customWidth="1"/>
    <col min="21" max="21" width="12" bestFit="1" customWidth="1"/>
    <col min="22" max="22" width="12.5703125" customWidth="1"/>
    <col min="23" max="23" width="9.28515625" bestFit="1" customWidth="1"/>
    <col min="24" max="24" width="10.28515625" bestFit="1" customWidth="1"/>
    <col min="25" max="25" width="9.5703125" bestFit="1" customWidth="1"/>
    <col min="26" max="26" width="10" bestFit="1" customWidth="1"/>
    <col min="27" max="28" width="10.85546875" bestFit="1" customWidth="1"/>
    <col min="29" max="29" width="12.85546875" customWidth="1"/>
    <col min="30" max="30" width="11.85546875" bestFit="1" customWidth="1"/>
    <col min="31" max="31" width="10.85546875" bestFit="1" customWidth="1"/>
    <col min="33" max="34" width="9.28515625" bestFit="1" customWidth="1"/>
    <col min="35" max="35" width="10.85546875" customWidth="1"/>
    <col min="36" max="36" width="10.28515625" customWidth="1"/>
    <col min="37" max="39" width="9.28515625" bestFit="1" customWidth="1"/>
    <col min="40" max="41" width="10.140625" bestFit="1" customWidth="1"/>
    <col min="42" max="42" width="9.28515625" bestFit="1" customWidth="1"/>
    <col min="43" max="43" width="9.28515625" style="299" customWidth="1"/>
    <col min="44" max="44" width="9.28515625" bestFit="1" customWidth="1"/>
    <col min="45" max="45" width="11.28515625" bestFit="1" customWidth="1"/>
    <col min="46" max="46" width="10.28515625" style="299" bestFit="1" customWidth="1"/>
    <col min="47" max="47" width="9.28515625" bestFit="1" customWidth="1"/>
    <col min="48" max="48" width="9.28515625" style="299" bestFit="1" customWidth="1"/>
    <col min="49" max="49" width="9.140625" style="299"/>
    <col min="50" max="56" width="9.28515625" style="299" bestFit="1" customWidth="1"/>
    <col min="57" max="96" width="9.28515625" bestFit="1" customWidth="1"/>
    <col min="97" max="104" width="9.28515625" style="299" bestFit="1" customWidth="1"/>
    <col min="105" max="108" width="9.7109375" style="299" customWidth="1"/>
    <col min="109" max="109" width="11" style="299" customWidth="1"/>
    <col min="110" max="110" width="9.28515625" bestFit="1" customWidth="1"/>
    <col min="111" max="111" width="11.28515625" customWidth="1"/>
    <col min="112" max="112" width="11.28515625" style="299" customWidth="1"/>
    <col min="113" max="113" width="9.28515625" bestFit="1" customWidth="1"/>
    <col min="114" max="114" width="8.85546875" style="299" bestFit="1" customWidth="1"/>
    <col min="115" max="115" width="9.28515625" bestFit="1" customWidth="1"/>
    <col min="116" max="116" width="9.28515625" style="299" customWidth="1"/>
    <col min="117" max="117" width="11.140625" customWidth="1"/>
    <col min="118" max="118" width="10.28515625" customWidth="1"/>
    <col min="119" max="119" width="10.28515625" style="299" customWidth="1"/>
    <col min="120" max="129" width="9.28515625" bestFit="1" customWidth="1"/>
    <col min="130" max="130" width="9.140625" customWidth="1"/>
  </cols>
  <sheetData>
    <row r="1" spans="1:130" s="405" customFormat="1" ht="48" customHeight="1" x14ac:dyDescent="0.25">
      <c r="A1" s="407" t="s">
        <v>579</v>
      </c>
      <c r="B1" s="407" t="s">
        <v>580</v>
      </c>
      <c r="C1" s="407" t="s">
        <v>581</v>
      </c>
      <c r="D1" s="407" t="s">
        <v>582</v>
      </c>
      <c r="E1" s="407" t="s">
        <v>583</v>
      </c>
      <c r="F1" s="407" t="s">
        <v>584</v>
      </c>
      <c r="G1" s="407" t="s">
        <v>585</v>
      </c>
      <c r="H1" s="407" t="s">
        <v>612</v>
      </c>
      <c r="I1" s="407" t="s">
        <v>613</v>
      </c>
      <c r="J1" s="407" t="s">
        <v>490</v>
      </c>
      <c r="K1" s="407" t="s">
        <v>614</v>
      </c>
      <c r="L1" s="407" t="s">
        <v>615</v>
      </c>
      <c r="M1" s="407" t="s">
        <v>130</v>
      </c>
      <c r="N1" s="407" t="s">
        <v>586</v>
      </c>
      <c r="O1" s="407" t="s">
        <v>587</v>
      </c>
      <c r="P1" s="407" t="s">
        <v>588</v>
      </c>
      <c r="Q1" s="407" t="s">
        <v>616</v>
      </c>
      <c r="R1" s="407" t="s">
        <v>589</v>
      </c>
      <c r="S1" s="407" t="s">
        <v>590</v>
      </c>
      <c r="T1" s="407" t="s">
        <v>591</v>
      </c>
      <c r="U1" s="407" t="s">
        <v>617</v>
      </c>
      <c r="V1" s="407" t="s">
        <v>618</v>
      </c>
      <c r="W1" s="407" t="s">
        <v>619</v>
      </c>
      <c r="X1" s="407" t="s">
        <v>620</v>
      </c>
      <c r="Y1" s="407" t="s">
        <v>621</v>
      </c>
      <c r="Z1" s="407" t="s">
        <v>592</v>
      </c>
      <c r="AA1" s="407" t="s">
        <v>593</v>
      </c>
      <c r="AB1" s="407" t="s">
        <v>594</v>
      </c>
      <c r="AC1" s="407" t="s">
        <v>595</v>
      </c>
      <c r="AD1" s="407" t="s">
        <v>596</v>
      </c>
      <c r="AE1" s="407" t="s">
        <v>597</v>
      </c>
      <c r="AF1" s="407" t="s">
        <v>598</v>
      </c>
      <c r="AG1" s="407" t="s">
        <v>599</v>
      </c>
      <c r="AH1" s="407" t="s">
        <v>600</v>
      </c>
      <c r="AI1" s="407" t="s">
        <v>601</v>
      </c>
      <c r="AJ1" s="407" t="s">
        <v>602</v>
      </c>
      <c r="AK1" s="407" t="s">
        <v>603</v>
      </c>
      <c r="AL1" s="407" t="s">
        <v>604</v>
      </c>
      <c r="AM1" s="407" t="s">
        <v>651</v>
      </c>
      <c r="AN1" s="407" t="s">
        <v>652</v>
      </c>
      <c r="AO1" s="407" t="s">
        <v>653</v>
      </c>
      <c r="AP1" s="407" t="s">
        <v>654</v>
      </c>
      <c r="AQ1" s="407" t="s">
        <v>792</v>
      </c>
      <c r="AR1" s="407" t="s">
        <v>655</v>
      </c>
      <c r="AS1" s="407" t="s">
        <v>656</v>
      </c>
      <c r="AT1" s="407" t="s">
        <v>661</v>
      </c>
      <c r="AU1" s="407" t="s">
        <v>657</v>
      </c>
      <c r="AV1" s="407" t="s">
        <v>658</v>
      </c>
      <c r="AW1" s="407" t="s">
        <v>659</v>
      </c>
      <c r="AX1" s="407" t="s">
        <v>660</v>
      </c>
      <c r="AY1" s="407" t="s">
        <v>605</v>
      </c>
      <c r="AZ1" s="407" t="s">
        <v>662</v>
      </c>
      <c r="BA1" s="407" t="s">
        <v>663</v>
      </c>
      <c r="BB1" s="407" t="s">
        <v>664</v>
      </c>
      <c r="BC1" s="407" t="s">
        <v>665</v>
      </c>
      <c r="BD1" s="407" t="s">
        <v>666</v>
      </c>
      <c r="BE1" s="407" t="s">
        <v>606</v>
      </c>
      <c r="BF1" s="407" t="s">
        <v>667</v>
      </c>
      <c r="BG1" s="407" t="s">
        <v>668</v>
      </c>
      <c r="BH1" s="407" t="s">
        <v>669</v>
      </c>
      <c r="BI1" s="407" t="s">
        <v>670</v>
      </c>
      <c r="BJ1" s="407" t="s">
        <v>671</v>
      </c>
      <c r="BK1" s="407" t="s">
        <v>607</v>
      </c>
      <c r="BL1" s="407" t="s">
        <v>672</v>
      </c>
      <c r="BM1" s="407" t="s">
        <v>673</v>
      </c>
      <c r="BN1" s="407" t="s">
        <v>674</v>
      </c>
      <c r="BO1" s="407" t="s">
        <v>675</v>
      </c>
      <c r="BP1" s="407" t="s">
        <v>676</v>
      </c>
      <c r="BQ1" s="407" t="s">
        <v>608</v>
      </c>
      <c r="BR1" s="407" t="s">
        <v>677</v>
      </c>
      <c r="BS1" s="407" t="s">
        <v>678</v>
      </c>
      <c r="BT1" s="407" t="s">
        <v>679</v>
      </c>
      <c r="BU1" s="407" t="s">
        <v>680</v>
      </c>
      <c r="BV1" s="407" t="s">
        <v>681</v>
      </c>
      <c r="BW1" s="407" t="s">
        <v>609</v>
      </c>
      <c r="BX1" s="407" t="s">
        <v>682</v>
      </c>
      <c r="BY1" s="407" t="s">
        <v>683</v>
      </c>
      <c r="BZ1" s="407" t="s">
        <v>684</v>
      </c>
      <c r="CA1" s="407" t="s">
        <v>685</v>
      </c>
      <c r="CB1" s="407" t="s">
        <v>686</v>
      </c>
      <c r="CC1" s="407" t="s">
        <v>610</v>
      </c>
      <c r="CD1" s="407" t="s">
        <v>687</v>
      </c>
      <c r="CE1" s="407" t="s">
        <v>688</v>
      </c>
      <c r="CF1" s="407" t="s">
        <v>689</v>
      </c>
      <c r="CG1" s="407" t="s">
        <v>690</v>
      </c>
      <c r="CH1" s="407" t="s">
        <v>691</v>
      </c>
      <c r="CI1" s="407" t="s">
        <v>611</v>
      </c>
      <c r="CJ1" s="407" t="s">
        <v>692</v>
      </c>
      <c r="CK1" s="407" t="s">
        <v>693</v>
      </c>
      <c r="CL1" s="407" t="s">
        <v>694</v>
      </c>
      <c r="CM1" s="407" t="s">
        <v>695</v>
      </c>
      <c r="CN1" s="407" t="s">
        <v>699</v>
      </c>
      <c r="CO1" s="407" t="s">
        <v>700</v>
      </c>
      <c r="CP1" s="407" t="s">
        <v>701</v>
      </c>
      <c r="CQ1" s="407" t="s">
        <v>702</v>
      </c>
      <c r="CR1" s="407" t="s">
        <v>703</v>
      </c>
      <c r="CS1" s="407" t="s">
        <v>704</v>
      </c>
      <c r="CT1" s="407" t="s">
        <v>705</v>
      </c>
      <c r="CU1" s="407" t="s">
        <v>706</v>
      </c>
      <c r="CV1" s="407" t="s">
        <v>707</v>
      </c>
      <c r="CW1" s="407" t="s">
        <v>708</v>
      </c>
      <c r="CX1" s="407" t="s">
        <v>709</v>
      </c>
      <c r="CY1" s="407" t="s">
        <v>710</v>
      </c>
      <c r="CZ1" s="407" t="s">
        <v>711</v>
      </c>
      <c r="DA1" s="407" t="s">
        <v>712</v>
      </c>
      <c r="DB1" s="407" t="s">
        <v>713</v>
      </c>
      <c r="DC1" s="407" t="s">
        <v>714</v>
      </c>
      <c r="DD1" s="407" t="s">
        <v>715</v>
      </c>
      <c r="DE1" s="407" t="s">
        <v>716</v>
      </c>
      <c r="DF1" s="407" t="s">
        <v>717</v>
      </c>
      <c r="DG1" s="407" t="s">
        <v>718</v>
      </c>
      <c r="DH1" s="407" t="s">
        <v>794</v>
      </c>
      <c r="DI1" s="407" t="s">
        <v>719</v>
      </c>
      <c r="DJ1" s="407" t="s">
        <v>793</v>
      </c>
      <c r="DK1" s="407" t="s">
        <v>720</v>
      </c>
      <c r="DL1" s="407" t="s">
        <v>796</v>
      </c>
      <c r="DM1" s="407" t="s">
        <v>795</v>
      </c>
      <c r="DN1" s="407" t="s">
        <v>721</v>
      </c>
      <c r="DO1" s="407" t="s">
        <v>751</v>
      </c>
      <c r="DP1" s="407" t="s">
        <v>723</v>
      </c>
      <c r="DQ1" s="407" t="s">
        <v>722</v>
      </c>
      <c r="DR1" s="407" t="s">
        <v>724</v>
      </c>
      <c r="DS1" s="407" t="s">
        <v>725</v>
      </c>
      <c r="DT1" s="407" t="s">
        <v>726</v>
      </c>
      <c r="DU1" s="407" t="s">
        <v>727</v>
      </c>
      <c r="DV1" s="407" t="s">
        <v>728</v>
      </c>
      <c r="DW1" s="407" t="s">
        <v>729</v>
      </c>
      <c r="DX1" s="407" t="s">
        <v>730</v>
      </c>
      <c r="DY1" s="407" t="s">
        <v>731</v>
      </c>
      <c r="DZ1" s="408" t="s">
        <v>732</v>
      </c>
    </row>
    <row r="2" spans="1:130" s="406" customFormat="1" ht="11.25" x14ac:dyDescent="0.2">
      <c r="A2" s="409" t="str">
        <f>Version</f>
        <v>Version 2019_12_01</v>
      </c>
      <c r="B2" s="409" t="str">
        <f>IF(ISBLANK(Application!D4), "", Application!D4)</f>
        <v/>
      </c>
      <c r="C2" s="410" t="str">
        <f>IF(ISBLANK(Application!H4), "", Application!H4)</f>
        <v/>
      </c>
      <c r="D2" s="410" t="str">
        <f>IF(ISBLANK(AreaOffice), "", AreaOffice)</f>
        <v/>
      </c>
      <c r="E2" s="410" t="str">
        <f>IF(ISBLANK(ProviderName), "", ProviderName)</f>
        <v/>
      </c>
      <c r="F2" s="410" t="str">
        <f>IF(ISBLANK(Engagement), "", Engagement)</f>
        <v/>
      </c>
      <c r="G2" s="409" t="str">
        <f>IF(DDSRes + DDSABI + MRCRes + MCBRes  = 1, IF(DDSRes,"DDSRES", IF(DDSABI, "DDSABI", IF(MCBRes, "MCB", IF(MRCRes, "MRC", "")))),"ERROR"    )</f>
        <v>ERROR</v>
      </c>
      <c r="H2" s="410" t="str">
        <f>IF(ISBLANK(Street), "", Street)</f>
        <v/>
      </c>
      <c r="I2" s="410" t="str">
        <f>IF(ISBLANK(City), "", City)</f>
        <v/>
      </c>
      <c r="J2" s="410" t="str">
        <f>IF(ISBLANK(State), "", State)</f>
        <v/>
      </c>
      <c r="K2" s="418" t="str">
        <f>IF(ISBLANK(ZIP), "", ZIP)</f>
        <v/>
      </c>
      <c r="L2" s="410" t="str">
        <f>IF(ISBLANK(SiteTypeEntry), "", SiteTypeEntry)</f>
        <v/>
      </c>
      <c r="M2" s="410" t="str">
        <f>IF(ISERROR(RegionSelected), "", RegionSelected)</f>
        <v/>
      </c>
      <c r="N2" s="460" t="str">
        <f xml:space="preserve"> IF(ISBLANK(TotalCapacity), "", TotalCapacity)</f>
        <v/>
      </c>
      <c r="O2" s="460" t="str">
        <f xml:space="preserve"> IF(ISBLANK(ALTRCapacity), "", ALTRCapacity)</f>
        <v/>
      </c>
      <c r="P2" s="409" t="str">
        <f>IF(Purchase + Lease + CapitalLease   = 1, IF(Purchase,"Purchase", IF(Lease, "Lease", IF(CapitalLease, "Capital Lease", ""))),"ERROR"    )</f>
        <v>ERROR</v>
      </c>
      <c r="Q2" s="410" t="str">
        <f>IF(NewConstruction + ExistingHouse = 1, IF(NewConstruction, "New", "Existing"), "ERROR")</f>
        <v>ERROR</v>
      </c>
      <c r="R2" s="410" t="str">
        <f>IF(RelatedPartyYes + RelatedPartyNo = 1, IF(RelatedPartyYes, "Yes", "No"), "ERROR")</f>
        <v>ERROR</v>
      </c>
      <c r="S2" s="410" t="str">
        <f>IF(MoveInPending + MoveInCompleted = 1, IF(MoveInPending, "Pending", "Completed"), "ERROR")</f>
        <v>ERROR</v>
      </c>
      <c r="T2" s="411" t="str">
        <f>IF(ISBLANK(Purchasedate), "", Purchasedate)</f>
        <v/>
      </c>
      <c r="U2" s="416" t="str">
        <f>IF(ISBLANK(PurchasePrice), "", PurchasePrice)</f>
        <v/>
      </c>
      <c r="V2" s="416" t="str">
        <f>IF(ISBLANK(HouseFinanced), "", HouseFinanced)</f>
        <v/>
      </c>
      <c r="W2" s="413" t="str">
        <f>IF(ISBLANK(HouseIntRate), "", HouseIntRate)</f>
        <v/>
      </c>
      <c r="X2" s="461" t="str">
        <f>IF(ISBLANK(HouseLoanTerm), "", HouseLoanTerm)</f>
        <v/>
      </c>
      <c r="Y2" s="461" t="str">
        <f>IF(ISBLANK(PILT), "", PILT)</f>
        <v/>
      </c>
      <c r="Z2" s="412">
        <f>IF(ISBLANK(AnnInterestExisting), "", AnnInterestExisting)</f>
        <v>0</v>
      </c>
      <c r="AA2" s="412" t="str">
        <f>IF(ISBLANK(LandCost), "", LandCost)</f>
        <v/>
      </c>
      <c r="AB2" s="412" t="str">
        <f>IF(ISBLANK(LandFinanced), "", LandFinanced)</f>
        <v/>
      </c>
      <c r="AC2" s="412" t="str">
        <f>IF(ISBLANK(ConstructionCost), "", ConstructionCost)</f>
        <v/>
      </c>
      <c r="AD2" s="412" t="str">
        <f>IF(ISBLANK(ConstructionFinanced), "", ConstructionFinanced)</f>
        <v/>
      </c>
      <c r="AE2" s="411" t="str">
        <f>IF(ISBLANK(ConstructionCompletionDate), "", ConstructionCompletionDate)</f>
        <v/>
      </c>
      <c r="AF2" s="498" t="str">
        <f>IF(ISBLANK(COnstructionInterestRate), "", COnstructionInterestRate)</f>
        <v/>
      </c>
      <c r="AG2" s="414" t="str">
        <f>IF(ISBLANK(ConstructionTermOfLoan), "", ConstructionTermOfLoan)</f>
        <v/>
      </c>
      <c r="AH2" s="416" t="str">
        <f xml:space="preserve">  IF(ISBLANK(COnstructionInterestRate), "",    COnstructionInterestRate)</f>
        <v/>
      </c>
      <c r="AI2" s="412" t="str">
        <f>IF(ISBLANK(LeaseAmount), "", LeaseAmount)</f>
        <v/>
      </c>
      <c r="AJ2" s="412">
        <f xml:space="preserve"> IF(ISBLANK(AnnLeaseAmt), "", AnnLeaseAmt)</f>
        <v>0</v>
      </c>
      <c r="AK2" s="411" t="str">
        <f>IF(ISBLANK(SiteApprovalDate), "", SiteApprovalDate)</f>
        <v/>
      </c>
      <c r="AL2" s="410" t="b">
        <f>CEDACAPPLIED</f>
        <v>0</v>
      </c>
      <c r="AM2" s="415" t="str">
        <f>IF(ISBLANK(CEDACAppDate), "", CEDACAppDate)</f>
        <v>TBD</v>
      </c>
      <c r="AN2" s="412" t="str">
        <f>IF(ISBLANK(Application!K31), "", Application!K31)</f>
        <v/>
      </c>
      <c r="AO2" s="412">
        <f>IF(ISBLANK(Application!K32), "", Application!K32)</f>
        <v>0</v>
      </c>
      <c r="AP2" s="412">
        <f>IF(ISBLANK(Application!K33), "", Application!K33)</f>
        <v>0</v>
      </c>
      <c r="AQ2" s="419" t="str">
        <f>Application!C36</f>
        <v xml:space="preserve">Depreciation  on building: </v>
      </c>
      <c r="AR2" s="415" t="str">
        <f>IF(ISBLANK(Application!H36), "", Application!H36)</f>
        <v/>
      </c>
      <c r="AS2" s="416">
        <f>IF(ISBLANK(Application!J36), "", Application!J36)</f>
        <v>0</v>
      </c>
      <c r="AT2" s="416">
        <f>IF(ISBLANK(Application!K36), "", Application!K36)</f>
        <v>0</v>
      </c>
      <c r="AU2" s="499">
        <f>IF(ISBLANK(Application!L36), "", Application!L36)</f>
        <v>27.5</v>
      </c>
      <c r="AV2" s="417">
        <f>IF(ISBLANK(Application!M36), "", Application!M36)</f>
        <v>0</v>
      </c>
      <c r="AW2" s="419" t="str">
        <f>IF(ISBLANK(Application!$C37), "", Application!$C37)</f>
        <v/>
      </c>
      <c r="AX2" s="415" t="str">
        <f xml:space="preserve"> IF(ISBLANK( Application!$H37), "", Application!$H37)</f>
        <v/>
      </c>
      <c r="AY2" s="412" t="str">
        <f>IF(ISBLANK(Application!$J37),"", Application!$J37)</f>
        <v/>
      </c>
      <c r="AZ2" s="412" t="str">
        <f>IF(ISBLANK(Application!$K37), "", Application!$K37)</f>
        <v/>
      </c>
      <c r="BA2" s="499" t="str">
        <f>IF(ISBLANK(Application!$L37), "", Application!$L37)</f>
        <v/>
      </c>
      <c r="BB2" s="412">
        <f>IF(ISBLANK(Application!$M37), "", Application!$M37)</f>
        <v>0</v>
      </c>
      <c r="BC2" s="419" t="str">
        <f>IF(ISBLANK(Application!$C38), "", Application!$C38)</f>
        <v/>
      </c>
      <c r="BD2" s="415" t="str">
        <f xml:space="preserve"> IF(ISBLANK( Application!$H38), "", Application!$H38)</f>
        <v/>
      </c>
      <c r="BE2" s="412" t="str">
        <f>IF(ISBLANK(Application!$J38),"", Application!$J38)</f>
        <v/>
      </c>
      <c r="BF2" s="412" t="str">
        <f>IF(ISBLANK(Application!$K38), "", Application!$K38)</f>
        <v/>
      </c>
      <c r="BG2" s="499" t="str">
        <f>IF(ISBLANK(Application!$L38), "", Application!$L38)</f>
        <v/>
      </c>
      <c r="BH2" s="412">
        <f>IF(ISBLANK(Application!$M38), "", Application!$M38)</f>
        <v>0</v>
      </c>
      <c r="BI2" s="419" t="str">
        <f>IF(ISBLANK(Application!$C39), "", Application!$C39)</f>
        <v/>
      </c>
      <c r="BJ2" s="415" t="str">
        <f xml:space="preserve"> IF(ISBLANK( Application!$H39), "", Application!$H39)</f>
        <v/>
      </c>
      <c r="BK2" s="412" t="str">
        <f>IF(ISBLANK(Application!$J39),"", Application!$J39)</f>
        <v/>
      </c>
      <c r="BL2" s="412" t="str">
        <f>IF(ISBLANK(Application!$K39), "", Application!$K39)</f>
        <v/>
      </c>
      <c r="BM2" s="499" t="str">
        <f>IF(ISBLANK(Application!$L39), "", Application!$L39)</f>
        <v/>
      </c>
      <c r="BN2" s="412">
        <f>IF(ISBLANK(Application!$M39), "", Application!$M39)</f>
        <v>0</v>
      </c>
      <c r="BO2" s="419" t="str">
        <f>IF(ISBLANK(Application!$C40), "", Application!$C40)</f>
        <v/>
      </c>
      <c r="BP2" s="415" t="str">
        <f xml:space="preserve"> IF(ISBLANK( Application!$H40), "", Application!$H40)</f>
        <v/>
      </c>
      <c r="BQ2" s="412" t="str">
        <f>IF(ISBLANK(Application!$J40),"", Application!$J40)</f>
        <v/>
      </c>
      <c r="BR2" s="412" t="str">
        <f>IF(ISBLANK(Application!$K40), "", Application!$K40)</f>
        <v/>
      </c>
      <c r="BS2" s="499" t="str">
        <f>IF(ISBLANK(Application!$L40), "", Application!$L40)</f>
        <v/>
      </c>
      <c r="BT2" s="412">
        <f>IF(ISBLANK(Application!$M40), "", Application!$M40)</f>
        <v>0</v>
      </c>
      <c r="BU2" s="419" t="str">
        <f>IF(ISBLANK(Application!$C41), "", Application!$C41)</f>
        <v/>
      </c>
      <c r="BV2" s="415" t="str">
        <f xml:space="preserve"> IF(ISBLANK( Application!$H41), "", Application!$H41)</f>
        <v/>
      </c>
      <c r="BW2" s="412" t="str">
        <f>IF(ISBLANK(Application!$J41),"", Application!$J41)</f>
        <v/>
      </c>
      <c r="BX2" s="412" t="str">
        <f>IF(ISBLANK(Application!$K41), "", Application!$K41)</f>
        <v/>
      </c>
      <c r="BY2" s="499" t="str">
        <f>IF(ISBLANK(Application!$L41), "", Application!$L41)</f>
        <v/>
      </c>
      <c r="BZ2" s="412">
        <f>IF(ISBLANK(Application!$M41), "", Application!$M41)</f>
        <v>0</v>
      </c>
      <c r="CA2" s="419" t="str">
        <f>IF(ISBLANK(Application!$C42), "", Application!$C42)</f>
        <v/>
      </c>
      <c r="CB2" s="415" t="str">
        <f xml:space="preserve"> IF(ISBLANK( Application!$H42), "", Application!$H42)</f>
        <v/>
      </c>
      <c r="CC2" s="412" t="str">
        <f>IF(ISBLANK(Application!$J42),"", Application!$J42)</f>
        <v/>
      </c>
      <c r="CD2" s="412" t="str">
        <f>IF(ISBLANK(Application!$K42), "", Application!$K42)</f>
        <v/>
      </c>
      <c r="CE2" s="499" t="str">
        <f>IF(ISBLANK(Application!$L42), "", Application!$L42)</f>
        <v/>
      </c>
      <c r="CF2" s="412">
        <f>IF(ISBLANK(Application!$M42), "", Application!$M42)</f>
        <v>0</v>
      </c>
      <c r="CG2" s="419" t="str">
        <f>IF(ISBLANK(Application!$C43), "", Application!$C43)</f>
        <v/>
      </c>
      <c r="CH2" s="415" t="str">
        <f xml:space="preserve"> IF(ISBLANK( Application!$H43), "", Application!$H43)</f>
        <v/>
      </c>
      <c r="CI2" s="412" t="str">
        <f>IF(ISBLANK(Application!$J43),"", Application!$J43)</f>
        <v/>
      </c>
      <c r="CJ2" s="412" t="str">
        <f>IF(ISBLANK(Application!$K43), "", Application!$K43)</f>
        <v/>
      </c>
      <c r="CK2" s="499" t="str">
        <f>IF(ISBLANK(Application!$L43), "", Application!$L43)</f>
        <v/>
      </c>
      <c r="CL2" s="500">
        <f>IF(ISBLANK(Application!$M43), "", Application!$M43)</f>
        <v>0</v>
      </c>
      <c r="CM2" s="500">
        <f>IF(ISBLANK(Application!M44), "", Application!M44)</f>
        <v>0</v>
      </c>
      <c r="CN2" s="500">
        <f>IF(ISBLANK(Application!M47), "", Application!M47)</f>
        <v>0</v>
      </c>
      <c r="CO2" s="500">
        <f>IF(ISBLANK(Application!$M47), "", Application!$M47)</f>
        <v>0</v>
      </c>
      <c r="CP2" s="500" t="str">
        <f>IF(ISBLANK(Application!$J49), "", Application!$J49)</f>
        <v/>
      </c>
      <c r="CQ2" s="500">
        <f>IF(ISBLANK(Application!$L49), "", Application!$L49)</f>
        <v>0</v>
      </c>
      <c r="CR2" s="500">
        <f>IF(ISBLANK(Application!$M49), "", Application!$M49)</f>
        <v>0</v>
      </c>
      <c r="CS2" s="500" t="str">
        <f>IF(ISBLANK(Application!$J50), "",Application!$J50)</f>
        <v/>
      </c>
      <c r="CT2" s="500">
        <f>IF(ISBLANK(Application!$L50), "", Application!$L50)</f>
        <v>0</v>
      </c>
      <c r="CU2" s="500">
        <f>IF(ISBLANK(Application!$M50), "", Application!$M50)</f>
        <v>0</v>
      </c>
      <c r="CV2" s="500" t="str">
        <f>IF(ISBLANK(Application!$J51), "",Application!$J51)</f>
        <v/>
      </c>
      <c r="CW2" s="500">
        <f>IF(ISBLANK(Application!$L51), "", Application!$L51)</f>
        <v>0</v>
      </c>
      <c r="CX2" s="500">
        <f>IF(ISBLANK(Application!$M51), "", Application!$M51)</f>
        <v>0</v>
      </c>
      <c r="CY2" s="500" t="str">
        <f>IF(ISBLANK(Application!$J52), "", Application!$J52)</f>
        <v/>
      </c>
      <c r="CZ2" s="500">
        <f>IF(ISBLANK(Application!$L52), "", Application!$L52)</f>
        <v>0</v>
      </c>
      <c r="DA2" s="500">
        <f>IF(ISBLANK(Application!$M52), "", Application!$M52)</f>
        <v>0</v>
      </c>
      <c r="DB2" s="500" t="str">
        <f>IF(ISBLANK(Application!$J53), "", Application!$J53)</f>
        <v/>
      </c>
      <c r="DC2" s="500">
        <f>IF(ISBLANK(Application!$L53), "", Application!$L53)</f>
        <v>0</v>
      </c>
      <c r="DD2" s="500">
        <f>IF(ISBLANK(Application!$M53), "", Application!$M53)</f>
        <v>0</v>
      </c>
      <c r="DE2" s="500">
        <f>IF(ISBLANK(Application!J54), "", Application!J54)</f>
        <v>0</v>
      </c>
      <c r="DF2" s="500">
        <f>IF(ISBLANK(Application!L54), "", Application!L54)</f>
        <v>0</v>
      </c>
      <c r="DG2" s="412">
        <f>IF(ISBLANK(ProjAnnExpenses), "", ProjAnnExpenses)</f>
        <v>0</v>
      </c>
      <c r="DH2" s="419" t="b">
        <f>CapIsApplied</f>
        <v>0</v>
      </c>
      <c r="DI2" s="412">
        <f>IF(ISBLANK(PerPersonBeforeOfffsets), "", PerPersonBeforeOfffsets)</f>
        <v>0</v>
      </c>
      <c r="DJ2" s="412" t="str">
        <f xml:space="preserve"> RateCapText</f>
        <v/>
      </c>
      <c r="DK2" s="412" t="str">
        <f>IF(ISNUMBER(ActiveCap), ActiveCap,"")</f>
        <v/>
      </c>
      <c r="DL2" s="503" t="str">
        <f ca="1">Application!K60</f>
        <v>Total Monthly billing for ALTR-
funded capacity before offsets:</v>
      </c>
      <c r="DM2" s="412">
        <f>Application!M60</f>
        <v>0</v>
      </c>
      <c r="DN2" s="412">
        <f>ExceptionRate</f>
        <v>0</v>
      </c>
      <c r="DO2" s="418">
        <f>Application!C57</f>
        <v>0</v>
      </c>
      <c r="DP2" s="418">
        <f>Application!D67</f>
        <v>0</v>
      </c>
      <c r="DQ2" s="418">
        <f>Application!J67</f>
        <v>0</v>
      </c>
      <c r="DR2" s="415">
        <f>Application!$M67</f>
        <v>0</v>
      </c>
      <c r="DS2" s="418">
        <f>Application!D69</f>
        <v>0</v>
      </c>
      <c r="DT2" s="418">
        <f>Application!J69</f>
        <v>0</v>
      </c>
      <c r="DU2" s="415">
        <f>Application!M69</f>
        <v>0</v>
      </c>
      <c r="DV2" s="412">
        <f>Application!F73</f>
        <v>0</v>
      </c>
      <c r="DW2" s="415">
        <f>Application!L72</f>
        <v>0</v>
      </c>
      <c r="DX2" s="417">
        <f>Application!L73</f>
        <v>0</v>
      </c>
      <c r="DY2" s="415" t="str">
        <f>IF(ISBLANK(AgencyApprovalDate), "", AgencyApprovalDate)</f>
        <v/>
      </c>
      <c r="DZ2" s="411">
        <f ca="1">NOW()</f>
        <v>43805.589153703702</v>
      </c>
    </row>
    <row r="3" spans="1:130" x14ac:dyDescent="0.25">
      <c r="BE3" s="299"/>
      <c r="BF3" s="299"/>
      <c r="BG3" s="299"/>
      <c r="BH3" s="299"/>
    </row>
    <row r="4" spans="1:130" x14ac:dyDescent="0.25">
      <c r="BE4" s="299"/>
      <c r="BF4" s="299"/>
      <c r="BG4" s="299"/>
      <c r="BH4" s="299"/>
    </row>
    <row r="5" spans="1:130" x14ac:dyDescent="0.25">
      <c r="BE5" s="299"/>
      <c r="BF5" s="299"/>
      <c r="BG5" s="299"/>
      <c r="BH5" s="299"/>
    </row>
    <row r="6" spans="1:130" x14ac:dyDescent="0.25">
      <c r="BE6" s="299"/>
      <c r="BF6" s="299"/>
      <c r="BG6" s="299"/>
      <c r="BH6" s="299"/>
    </row>
    <row r="7" spans="1:130" x14ac:dyDescent="0.25">
      <c r="BE7" s="299"/>
      <c r="BF7" s="299"/>
      <c r="BG7" s="299"/>
      <c r="BH7" s="299"/>
    </row>
  </sheetData>
  <sheetProtection password="DBEC"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78</vt:i4>
      </vt:variant>
    </vt:vector>
  </HeadingPairs>
  <TitlesOfParts>
    <vt:vector size="86" baseType="lpstr">
      <vt:lpstr>INSTRUCTIONS</vt:lpstr>
      <vt:lpstr>Application</vt:lpstr>
      <vt:lpstr>ApprovalCover</vt:lpstr>
      <vt:lpstr>Geographic Lookups &amp; Caps</vt:lpstr>
      <vt:lpstr>Rate Bands</vt:lpstr>
      <vt:lpstr>OSD Service Life of Assets</vt:lpstr>
      <vt:lpstr>CMR Reference</vt:lpstr>
      <vt:lpstr>Data</vt:lpstr>
      <vt:lpstr>ABIMonthlyCAP</vt:lpstr>
      <vt:lpstr>ABIMonthlyCAPplus1</vt:lpstr>
      <vt:lpstr>ActiveCap</vt:lpstr>
      <vt:lpstr>AgencyApprovalDate</vt:lpstr>
      <vt:lpstr>ALTRCapacity</vt:lpstr>
      <vt:lpstr>AnnInterestConstr</vt:lpstr>
      <vt:lpstr>AnnInterestExisting</vt:lpstr>
      <vt:lpstr>AnnLeaseAmt</vt:lpstr>
      <vt:lpstr>AnnTotal</vt:lpstr>
      <vt:lpstr>AreaOffice</vt:lpstr>
      <vt:lpstr>Break</vt:lpstr>
      <vt:lpstr>CapException</vt:lpstr>
      <vt:lpstr>CAPExemption</vt:lpstr>
      <vt:lpstr>CapIsApplied</vt:lpstr>
      <vt:lpstr>CapitalLease</vt:lpstr>
      <vt:lpstr>CEDACAppDate</vt:lpstr>
      <vt:lpstr>CEDACAPPLIED</vt:lpstr>
      <vt:lpstr>City</vt:lpstr>
      <vt:lpstr>ConstructionCompletionDate</vt:lpstr>
      <vt:lpstr>ConstructionCost</vt:lpstr>
      <vt:lpstr>ConstructionFinanced</vt:lpstr>
      <vt:lpstr>COnstructionInterestRate</vt:lpstr>
      <vt:lpstr>ConstructionTermOfLoan</vt:lpstr>
      <vt:lpstr>ContractTypeOK</vt:lpstr>
      <vt:lpstr>DailyCost</vt:lpstr>
      <vt:lpstr>DailyRate</vt:lpstr>
      <vt:lpstr>DDSABI</vt:lpstr>
      <vt:lpstr>DDSRes</vt:lpstr>
      <vt:lpstr>Engagement</vt:lpstr>
      <vt:lpstr>ExceptionRate</vt:lpstr>
      <vt:lpstr>ExistingHouse</vt:lpstr>
      <vt:lpstr>HouseFinanced</vt:lpstr>
      <vt:lpstr>HouseIntRate</vt:lpstr>
      <vt:lpstr>HouseLoanTerm</vt:lpstr>
      <vt:lpstr>InsCap</vt:lpstr>
      <vt:lpstr>LandCost</vt:lpstr>
      <vt:lpstr>LandFinanced</vt:lpstr>
      <vt:lpstr>Lease</vt:lpstr>
      <vt:lpstr>LeaseAmount</vt:lpstr>
      <vt:lpstr>LeaseORCapitalLease</vt:lpstr>
      <vt:lpstr>MCBRes</vt:lpstr>
      <vt:lpstr>MonthlyLease</vt:lpstr>
      <vt:lpstr>MoveInCompleted</vt:lpstr>
      <vt:lpstr>MoveInDate</vt:lpstr>
      <vt:lpstr>MoveInPending</vt:lpstr>
      <vt:lpstr>MRCRes</vt:lpstr>
      <vt:lpstr>NewConstruction</vt:lpstr>
      <vt:lpstr>PctDeprecType3Bldg</vt:lpstr>
      <vt:lpstr>PerPersonBeforeOfffsets</vt:lpstr>
      <vt:lpstr>PILT</vt:lpstr>
      <vt:lpstr>Application!Print_Area</vt:lpstr>
      <vt:lpstr>ApprovalCover!Print_Area</vt:lpstr>
      <vt:lpstr>'CMR Reference'!Print_Area</vt:lpstr>
      <vt:lpstr>INSTRUCTIONS!Print_Area</vt:lpstr>
      <vt:lpstr>ProjAnnExpenses</vt:lpstr>
      <vt:lpstr>ProviderName</vt:lpstr>
      <vt:lpstr>Purchase</vt:lpstr>
      <vt:lpstr>Purchasedate</vt:lpstr>
      <vt:lpstr>PurchasePrice</vt:lpstr>
      <vt:lpstr>RateCapText</vt:lpstr>
      <vt:lpstr>RateCapValue</vt:lpstr>
      <vt:lpstr>RateTextValue</vt:lpstr>
      <vt:lpstr>RegCap</vt:lpstr>
      <vt:lpstr>RegCapPlus1</vt:lpstr>
      <vt:lpstr>RegionalCap</vt:lpstr>
      <vt:lpstr>RegionSelected</vt:lpstr>
      <vt:lpstr>RelatedPartyNo</vt:lpstr>
      <vt:lpstr>RelatedPartyYes</vt:lpstr>
      <vt:lpstr>SiteApprovalDate</vt:lpstr>
      <vt:lpstr>SiteApprovalGTEQFY19</vt:lpstr>
      <vt:lpstr>SiteType</vt:lpstr>
      <vt:lpstr>SiteTypeEntry</vt:lpstr>
      <vt:lpstr>SiteTypeLookup</vt:lpstr>
      <vt:lpstr>State</vt:lpstr>
      <vt:lpstr>Street</vt:lpstr>
      <vt:lpstr>TotalCapacity</vt:lpstr>
      <vt:lpstr>Version</vt:lpstr>
      <vt:lpstr>ZIP</vt:lpstr>
    </vt:vector>
  </TitlesOfParts>
  <Company>EHS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ALTR New Site Application</dc:title>
  <dc:creator>DDS Contracts &amp; EHS</dc:creator>
  <cp:lastModifiedBy> </cp:lastModifiedBy>
  <cp:lastPrinted>2019-12-05T16:39:45Z</cp:lastPrinted>
  <dcterms:created xsi:type="dcterms:W3CDTF">2014-12-30T13:35:10Z</dcterms:created>
  <dcterms:modified xsi:type="dcterms:W3CDTF">2019-12-06T19:09:04Z</dcterms:modified>
</cp:coreProperties>
</file>