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hernande\Downloads\"/>
    </mc:Choice>
  </mc:AlternateContent>
  <xr:revisionPtr revIDLastSave="0" documentId="8_{C7F66250-E3FC-4385-9E06-3071D3D27FAC}" xr6:coauthVersionLast="47" xr6:coauthVersionMax="47" xr10:uidLastSave="{00000000-0000-0000-0000-000000000000}"/>
  <bookViews>
    <workbookView xWindow="-107" yWindow="-107" windowWidth="17408" windowHeight="9177" activeTab="1" xr2:uid="{00000000-000D-0000-FFFF-FFFF00000000}"/>
  </bookViews>
  <sheets>
    <sheet name="INSTRUCTIONS" sheetId="15" r:id="rId1"/>
    <sheet name="Application" sheetId="2" r:id="rId2"/>
    <sheet name="Approval Cover" sheetId="17" r:id="rId3"/>
    <sheet name="OSD Service Life of Assets" sheetId="10" r:id="rId4"/>
    <sheet name="CMR Reference" sheetId="4" r:id="rId5"/>
    <sheet name="Rates" sheetId="11" r:id="rId6"/>
    <sheet name="Data" sheetId="18" r:id="rId7"/>
    <sheet name="Cities &amp; Regions" sheetId="19" state="hidden" r:id="rId8"/>
  </sheets>
  <definedNames>
    <definedName name="_xlnm._FilterDatabase" localSheetId="7" hidden="1">'Cities &amp; Regions'!$G$9:$G$64</definedName>
    <definedName name="_Hlk160522119" localSheetId="7">'Cities &amp; Regions'!$AB$3</definedName>
    <definedName name="ABIMonthlyCAP">'Cities &amp; Regions'!$M$10</definedName>
    <definedName name="ABIMonthlyCAPplus1">'Cities &amp; Regions'!$M$11</definedName>
    <definedName name="ActiveCap">Application!$M$65</definedName>
    <definedName name="AgncySIg">'Approval Cover'!$D$34</definedName>
    <definedName name="AgncySigDate">'Approval Cover'!$E$37</definedName>
    <definedName name="ALTRCapacity">Application!$I$18</definedName>
    <definedName name="AnnInterestConstr">Application!$H$33</definedName>
    <definedName name="AnnInterestExisting">Application!$D$32</definedName>
    <definedName name="AnnLeaseAmt">Application!$M$27</definedName>
    <definedName name="AnnTotal">Application!$A$162</definedName>
    <definedName name="AreaOffice">Application!$M$5</definedName>
    <definedName name="BehavioralIntensity">Application!$A$187</definedName>
    <definedName name="Break" comment="Created Line Breaks that work on both Macs and PCs">'Cities &amp; Regions'!$L$31</definedName>
    <definedName name="CapException">Application!$U$33</definedName>
    <definedName name="CAPExemption">Application!$A$194</definedName>
    <definedName name="CapIsApplied">Application!$A$192</definedName>
    <definedName name="CapitalLease">Application!$A$172</definedName>
    <definedName name="CEDACAppDate">Application!$L$33</definedName>
    <definedName name="CEDACAPPLIED">Application!$A$189</definedName>
    <definedName name="City">Application!$E$14</definedName>
    <definedName name="CityRegRates">'Cities &amp; Regions'!$A$3:$D$351</definedName>
    <definedName name="ConstructionCompletionDate">Application!$H$30</definedName>
    <definedName name="ConstructionCost">Application!$H$28</definedName>
    <definedName name="ConstructionFinanced">Application!$H$29</definedName>
    <definedName name="COnstructionInterestRate">Application!$H$31</definedName>
    <definedName name="ConstructionTermOfLoan">Application!$H$32</definedName>
    <definedName name="ContractType">Application!$A$182</definedName>
    <definedName name="DailyCost">Application!$A$160</definedName>
    <definedName name="DailyRate">Application!$A$161</definedName>
    <definedName name="DDSABI">Application!$D$183</definedName>
    <definedName name="DDSOnly">Application!#REF!</definedName>
    <definedName name="DDSRes">Application!$D$182</definedName>
    <definedName name="Engagement">Application!$J$8</definedName>
    <definedName name="ExceptionRate">Application!$M$68</definedName>
    <definedName name="ExistingHouse">Application!$A$178</definedName>
    <definedName name="HouseFinanced">Application!$D$28</definedName>
    <definedName name="HouseIntRate">Application!$D$29</definedName>
    <definedName name="HouseLoanTerm">Application!$D$30</definedName>
    <definedName name="InsCap">Application!$G$160</definedName>
    <definedName name="LandCost">Application!$H$26</definedName>
    <definedName name="LandFinanced">Application!$H$27</definedName>
    <definedName name="Lease">Application!$A$171</definedName>
    <definedName name="LeaseAmount">Application!$M$26</definedName>
    <definedName name="LocationID">'Approval Cover'!$E$7</definedName>
    <definedName name="LocIDDisplayOnly">Application!$K$15</definedName>
    <definedName name="luContractType">'Cities &amp; Regions'!$K$15:$L$22</definedName>
    <definedName name="luRegionsMaxRates">'Cities &amp; Regions'!$B$3:$D$353</definedName>
    <definedName name="MCBRes">Application!$D$184</definedName>
    <definedName name="MedicalIntensity">Application!$A$186</definedName>
    <definedName name="MonthlyLease">Application!$A$171</definedName>
    <definedName name="MortIntPiltRent">Application!$M$52</definedName>
    <definedName name="MoveInCompleted">Application!$A$176</definedName>
    <definedName name="MoveinDTProj" comment="Projected move in date">Application!$L$79</definedName>
    <definedName name="MoveInPending">Application!$A$175</definedName>
    <definedName name="MRCRes">Application!$D$188</definedName>
    <definedName name="NewConstruction">Application!$A$177</definedName>
    <definedName name="Notes">Application!$C$63</definedName>
    <definedName name="OwnerOfRecord">Application!$E$21</definedName>
    <definedName name="PctDeprecType3Bldg">'OSD Service Life of Assets'!$D$9</definedName>
    <definedName name="PerPersonBeforeOfffsets">Application!$M$64</definedName>
    <definedName name="PILT">Application!$D$31</definedName>
    <definedName name="PrepCOSIg">Application!$D$75</definedName>
    <definedName name="PrepCOSIgDate">Application!$M$75</definedName>
    <definedName name="PrepCOTitle">Application!$J$75</definedName>
    <definedName name="_xlnm.Print_Area" localSheetId="1">Application!$B$1:$M$80</definedName>
    <definedName name="_xlnm.Print_Area" localSheetId="2">'Approval Cover'!$A$1:$K$41</definedName>
    <definedName name="_xlnm.Print_Area" localSheetId="4">'CMR Reference'!$B$1:$B$7</definedName>
    <definedName name="_xlnm.Print_Area" localSheetId="0">INSTRUCTIONS!#REF!</definedName>
    <definedName name="ProjAnnExpenses">Application!$M$62</definedName>
    <definedName name="ProviderName">Application!$D$8</definedName>
    <definedName name="ProvRateApprovalDateExp">'Approval Cover'!$J$25</definedName>
    <definedName name="ProvSig">Application!$D$73</definedName>
    <definedName name="ProvSigDate">Application!$M$73</definedName>
    <definedName name="ProvTitle">Application!$J$73</definedName>
    <definedName name="Purchase">Application!$A$170</definedName>
    <definedName name="Purchasedate">Application!$D$26</definedName>
    <definedName name="PurchasePrice">Application!$D$27</definedName>
    <definedName name="RateAndCapLogicTable">Application!$G$137:$J$152</definedName>
    <definedName name="RateApprovalType">'Approval Cover'!$E$25</definedName>
    <definedName name="RateCapText">Application!$K$65</definedName>
    <definedName name="RateCapValue">Application!$H$154</definedName>
    <definedName name="RateTextValue">Application!$H$155</definedName>
    <definedName name="RegCap">Application!$A$195</definedName>
    <definedName name="RegCapPlus1">Application!$A$196</definedName>
    <definedName name="RegionalCap">Application!$A$190</definedName>
    <definedName name="RegionSelected">Application!$J$15</definedName>
    <definedName name="RelatedPartyNo">Application!$A$181</definedName>
    <definedName name="RelatedPartyYes">Application!$A$180</definedName>
    <definedName name="ReplacesSite">Application!$A$184</definedName>
    <definedName name="SiteApprovalDate">Application!$C$199</definedName>
    <definedName name="SiteApprovalGTEQFY19">Application!$A$193</definedName>
    <definedName name="SiteType">Table13[Site Type Display]</definedName>
    <definedName name="SiteTypeEntry">Application!$E$15</definedName>
    <definedName name="SiteTypeLookup">Table13[]</definedName>
    <definedName name="State">Application!$H$14</definedName>
    <definedName name="Street">Application!$E$11</definedName>
    <definedName name="SubmissionDateWarning">Application!$J$78</definedName>
    <definedName name="TotalCapacity">Application!$D$18</definedName>
    <definedName name="TotalDepreciation">Application!$M$50</definedName>
    <definedName name="UnitNumber">Application!$J$13</definedName>
    <definedName name="Version">Application!$C$3</definedName>
    <definedName name="x">Application!$M$5</definedName>
    <definedName name="YesNoReplacement" comment="replace existing ALTR site">Application!$L$30</definedName>
    <definedName name="ZIP">Application!$J$14</definedName>
  </definedNames>
  <calcPr calcId="191029"/>
  <customWorkbookViews>
    <customWorkbookView name="Taylor, Martha (EHS) - Personal View" guid="{FBB71ECB-BCC0-464A-AF19-7974BE7447AA}" mergeInterval="0" personalView="1" maximized="1" windowWidth="1436" windowHeight="68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15" l="1"/>
  <c r="J9" i="2"/>
  <c r="DY2" i="18"/>
  <c r="H25" i="17"/>
  <c r="BG9" i="2" l="1"/>
  <c r="J30" i="2" l="1"/>
  <c r="J78" i="2" l="1"/>
  <c r="F190" i="2"/>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7" i="11"/>
  <c r="M6" i="11"/>
  <c r="M5" i="11"/>
  <c r="M4" i="11"/>
  <c r="M3" i="11"/>
  <c r="E26" i="2" l="1"/>
  <c r="A184" i="2"/>
  <c r="M30" i="2"/>
  <c r="BA11" i="2"/>
  <c r="C1" i="2" l="1"/>
  <c r="L2" i="18"/>
  <c r="K2" i="18"/>
  <c r="J2" i="18"/>
  <c r="H9" i="2"/>
  <c r="G9" i="2"/>
  <c r="EE2" i="18"/>
  <c r="EF2" i="18"/>
  <c r="EB2" i="18"/>
  <c r="EA2" i="18"/>
  <c r="DZ2" i="18"/>
  <c r="DU2" i="18"/>
  <c r="E6" i="17"/>
  <c r="M79" i="2"/>
  <c r="AT2" i="18"/>
  <c r="C13" i="2"/>
  <c r="K15" i="2"/>
  <c r="S2" i="18"/>
  <c r="A2" i="18"/>
  <c r="G37" i="17"/>
  <c r="G31" i="17"/>
  <c r="C2" i="2" l="1"/>
  <c r="M59" i="2"/>
  <c r="M58" i="2"/>
  <c r="M55" i="2"/>
  <c r="DT2" i="18"/>
  <c r="F3" i="2"/>
  <c r="K26" i="2"/>
  <c r="DX2" i="18" l="1"/>
  <c r="E5" i="17"/>
  <c r="D190" i="2" l="1"/>
  <c r="Y2" i="18" l="1"/>
  <c r="X2" i="18"/>
  <c r="K13" i="2"/>
  <c r="K14" i="2" l="1"/>
  <c r="H2" i="18" l="1"/>
  <c r="I2" i="18"/>
  <c r="C182" i="2"/>
  <c r="C42" i="2" l="1"/>
  <c r="R2" i="18" l="1"/>
  <c r="C34" i="11" l="1"/>
  <c r="A193" i="2" l="1"/>
  <c r="L137" i="2" l="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C4" i="11"/>
  <c r="C3" i="11"/>
  <c r="C2" i="11"/>
  <c r="Z2" i="18" l="1"/>
  <c r="D21" i="2"/>
  <c r="M4" i="2"/>
  <c r="D23" i="2" l="1"/>
  <c r="M56" i="2" l="1"/>
  <c r="L56" i="2" s="1"/>
  <c r="DB2" i="18" s="1"/>
  <c r="L58" i="2"/>
  <c r="DH2" i="18" s="1"/>
  <c r="L55" i="2"/>
  <c r="CY2" i="18" s="1"/>
  <c r="L59" i="2"/>
  <c r="DK2" i="18" s="1"/>
  <c r="E160" i="2"/>
  <c r="D160" i="2"/>
  <c r="C160" i="2"/>
  <c r="O51" i="2"/>
  <c r="J60" i="2"/>
  <c r="DM2" i="18" s="1"/>
  <c r="AK2" i="18"/>
  <c r="J42" i="2"/>
  <c r="BA2" i="18" s="1"/>
  <c r="H42" i="2"/>
  <c r="AZ2" i="18" s="1"/>
  <c r="EG2" i="18"/>
  <c r="ED2" i="18"/>
  <c r="EC2" i="18"/>
  <c r="DV2" i="18"/>
  <c r="DW2" i="18"/>
  <c r="DS2" i="18"/>
  <c r="H11" i="17"/>
  <c r="DJ2" i="18"/>
  <c r="DG2" i="18"/>
  <c r="DD2" i="18"/>
  <c r="DA2" i="18"/>
  <c r="CX2" i="18"/>
  <c r="CS2" i="18"/>
  <c r="CR2" i="18"/>
  <c r="CQ2" i="18"/>
  <c r="CP2" i="18"/>
  <c r="CO2" i="18"/>
  <c r="CM2" i="18"/>
  <c r="CL2" i="18"/>
  <c r="CK2" i="18"/>
  <c r="CJ2" i="18"/>
  <c r="CI2" i="18"/>
  <c r="CG2" i="18"/>
  <c r="CF2" i="18"/>
  <c r="CE2" i="18"/>
  <c r="CD2" i="18"/>
  <c r="CC2" i="18"/>
  <c r="CA2" i="18"/>
  <c r="BZ2" i="18"/>
  <c r="BY2" i="18"/>
  <c r="BX2" i="18"/>
  <c r="BW2" i="18"/>
  <c r="BU2" i="18"/>
  <c r="BT2" i="18"/>
  <c r="BS2" i="18"/>
  <c r="BR2" i="18"/>
  <c r="BQ2" i="18"/>
  <c r="BO2" i="18"/>
  <c r="BN2" i="18"/>
  <c r="BM2" i="18"/>
  <c r="BL2" i="18"/>
  <c r="BK2" i="18"/>
  <c r="BI2" i="18"/>
  <c r="BH2" i="18"/>
  <c r="BG2" i="18"/>
  <c r="BF2" i="18"/>
  <c r="BE2" i="18"/>
  <c r="BC2" i="18"/>
  <c r="AW2" i="18"/>
  <c r="AV2" i="18"/>
  <c r="AU2" i="18"/>
  <c r="AS2" i="18"/>
  <c r="AQ2" i="18"/>
  <c r="AP2" i="18"/>
  <c r="AO2" i="18"/>
  <c r="G152" i="2"/>
  <c r="G150" i="2"/>
  <c r="G148" i="2"/>
  <c r="G144" i="2"/>
  <c r="G142" i="2"/>
  <c r="G140" i="2"/>
  <c r="G151" i="2"/>
  <c r="G149" i="2"/>
  <c r="G147" i="2"/>
  <c r="G146" i="2"/>
  <c r="G145" i="2"/>
  <c r="G143" i="2"/>
  <c r="G141" i="2"/>
  <c r="G139" i="2"/>
  <c r="G138" i="2"/>
  <c r="G137" i="2"/>
  <c r="E31" i="2"/>
  <c r="E30" i="2"/>
  <c r="E29" i="2"/>
  <c r="E27" i="2"/>
  <c r="E28" i="2"/>
  <c r="I32" i="2"/>
  <c r="I31" i="2"/>
  <c r="I30" i="2"/>
  <c r="I29" i="2"/>
  <c r="I28" i="2"/>
  <c r="I27" i="2"/>
  <c r="I26" i="2"/>
  <c r="A194" i="2"/>
  <c r="K39" i="2"/>
  <c r="AY2" i="18" s="1"/>
  <c r="U33" i="2"/>
  <c r="AN2" i="18"/>
  <c r="AM2" i="18"/>
  <c r="AL2" i="18"/>
  <c r="AI2" i="18"/>
  <c r="AJ2" i="18"/>
  <c r="AG2" i="18"/>
  <c r="AF2" i="18"/>
  <c r="AE2" i="18"/>
  <c r="AD2" i="18"/>
  <c r="AC2" i="18"/>
  <c r="AB2" i="18"/>
  <c r="AA2" i="18"/>
  <c r="C2" i="18"/>
  <c r="B2" i="18"/>
  <c r="W2" i="18"/>
  <c r="V2" i="18"/>
  <c r="U2" i="18"/>
  <c r="Q2" i="18"/>
  <c r="P2" i="18"/>
  <c r="O2" i="18"/>
  <c r="N2" i="18"/>
  <c r="M2" i="18"/>
  <c r="F2" i="18"/>
  <c r="G2" i="18" s="1"/>
  <c r="E2" i="18"/>
  <c r="D2" i="18"/>
  <c r="L31" i="19"/>
  <c r="L7" i="2" s="1"/>
  <c r="M19" i="2"/>
  <c r="K24" i="2"/>
  <c r="K38" i="2"/>
  <c r="E9" i="17"/>
  <c r="E3" i="17"/>
  <c r="J15" i="2"/>
  <c r="A196" i="2" s="1"/>
  <c r="J33" i="2"/>
  <c r="L9" i="2"/>
  <c r="G15" i="2"/>
  <c r="C14" i="2"/>
  <c r="M33" i="2"/>
  <c r="J26" i="2"/>
  <c r="M27" i="2"/>
  <c r="N20" i="2"/>
  <c r="H33" i="2"/>
  <c r="N23" i="2"/>
  <c r="P60" i="2"/>
  <c r="G8" i="2"/>
  <c r="K18" i="2"/>
  <c r="J18" i="2"/>
  <c r="N28" i="2"/>
  <c r="M49" i="2"/>
  <c r="CT2" i="18" s="1"/>
  <c r="L37" i="2"/>
  <c r="G79" i="2"/>
  <c r="F5" i="2"/>
  <c r="K5" i="2"/>
  <c r="D32" i="2"/>
  <c r="AH2" i="18" s="1"/>
  <c r="J76" i="2"/>
  <c r="J74" i="2"/>
  <c r="M76" i="2"/>
  <c r="M74" i="2"/>
  <c r="G75" i="2"/>
  <c r="G73" i="2"/>
  <c r="I59" i="2"/>
  <c r="I58" i="2"/>
  <c r="I57" i="2"/>
  <c r="I56" i="2"/>
  <c r="I55" i="2"/>
  <c r="M48" i="2"/>
  <c r="CN2" i="18" s="1"/>
  <c r="M47" i="2"/>
  <c r="CH2" i="18" s="1"/>
  <c r="M46" i="2"/>
  <c r="CB2" i="18" s="1"/>
  <c r="M45" i="2"/>
  <c r="BV2" i="18" s="1"/>
  <c r="M44" i="2"/>
  <c r="BP2" i="18" s="1"/>
  <c r="M43" i="2"/>
  <c r="BJ2" i="18" s="1"/>
  <c r="K11" i="2"/>
  <c r="H155" i="2" l="1"/>
  <c r="AX2" i="18"/>
  <c r="K42" i="2"/>
  <c r="BB2" i="18" s="1"/>
  <c r="A195" i="2"/>
  <c r="T2" i="18"/>
  <c r="D197" i="2"/>
  <c r="J68" i="2"/>
  <c r="T65" i="2"/>
  <c r="A190" i="2"/>
  <c r="Q59" i="2"/>
  <c r="A1" i="19"/>
  <c r="H13" i="17"/>
  <c r="Q55" i="2"/>
  <c r="DI2" i="18"/>
  <c r="DL2" i="18"/>
  <c r="CZ2" i="18"/>
  <c r="Q58" i="2"/>
  <c r="Q56" i="2"/>
  <c r="DC2" i="18"/>
  <c r="M52" i="2"/>
  <c r="CV2" i="18" s="1"/>
  <c r="L41" i="2"/>
  <c r="F160" i="2"/>
  <c r="G160" i="2" s="1"/>
  <c r="AR2" i="18"/>
  <c r="I2" i="19"/>
  <c r="D20" i="2"/>
  <c r="J66" i="2"/>
  <c r="J64" i="2"/>
  <c r="U63" i="2" l="1"/>
  <c r="H146" i="2"/>
  <c r="O64" i="2"/>
  <c r="M57" i="2"/>
  <c r="L57" i="2" s="1"/>
  <c r="H145" i="2"/>
  <c r="H149" i="2"/>
  <c r="H150" i="2"/>
  <c r="H154" i="2" s="1"/>
  <c r="M42" i="2"/>
  <c r="O45" i="2" s="1"/>
  <c r="M50" i="2" l="1"/>
  <c r="M53" i="2" s="1"/>
  <c r="BD2" i="18"/>
  <c r="DF2" i="18"/>
  <c r="Q57" i="2"/>
  <c r="L60" i="2"/>
  <c r="DN2" i="18" s="1"/>
  <c r="DE2" i="18"/>
  <c r="CU2" i="18" l="1"/>
  <c r="Q62" i="2"/>
  <c r="M62" i="2" s="1"/>
  <c r="CW2" i="18"/>
  <c r="DO2" i="18" l="1"/>
  <c r="A160" i="2"/>
  <c r="A161" i="2" l="1"/>
  <c r="A162" i="2" s="1"/>
  <c r="M64" i="2" l="1"/>
  <c r="M65" i="2" s="1"/>
  <c r="AC64" i="2"/>
  <c r="P67" i="2" l="1"/>
  <c r="P66" i="2"/>
  <c r="Q68" i="2"/>
  <c r="M66" i="2"/>
  <c r="O65" i="2"/>
  <c r="Z143" i="2"/>
  <c r="DP2" i="18"/>
  <c r="AC65" i="2"/>
  <c r="A192" i="2"/>
  <c r="K64" i="2" s="1"/>
  <c r="DR2" i="18" l="1"/>
  <c r="Q66" i="2"/>
  <c r="O66" i="2"/>
  <c r="AC66" i="2"/>
  <c r="P68" i="2"/>
  <c r="F13" i="17"/>
  <c r="T64" i="2"/>
  <c r="U65" i="2"/>
  <c r="DQ2" i="18"/>
  <c r="K65" i="2"/>
  <c r="K66" i="2" s="1"/>
  <c r="O67" i="2"/>
  <c r="E11" i="17"/>
</calcChain>
</file>

<file path=xl/sharedStrings.xml><?xml version="1.0" encoding="utf-8"?>
<sst xmlns="http://schemas.openxmlformats.org/spreadsheetml/2006/main" count="1680" uniqueCount="891">
  <si>
    <t>Description</t>
  </si>
  <si>
    <t>[1]</t>
  </si>
  <si>
    <t>[2]</t>
  </si>
  <si>
    <t>(A)</t>
  </si>
  <si>
    <t>(B)</t>
  </si>
  <si>
    <t>(C)</t>
  </si>
  <si>
    <t>(D)</t>
  </si>
  <si>
    <t>(E)</t>
  </si>
  <si>
    <t>(Please attach all supporting documentation)</t>
  </si>
  <si>
    <t>[3]</t>
  </si>
  <si>
    <t>[4]</t>
  </si>
  <si>
    <t>[5]</t>
  </si>
  <si>
    <t>[6]</t>
  </si>
  <si>
    <t>Annual Depreciation</t>
  </si>
  <si>
    <t>[7]</t>
  </si>
  <si>
    <t>(F)</t>
  </si>
  <si>
    <t>(G)</t>
  </si>
  <si>
    <t>(H)</t>
  </si>
  <si>
    <t>(a)   the transaction is for a good or service which the Related Party sells to the general public;</t>
  </si>
  <si>
    <t>(b)   the Related Party’s transactions with the Contractor in the reporting year comprise less than 10% of the Related Party’s annual sales of that good or service to the general public (excluding sales to other parties also related to the Related Party under FASB 57); and</t>
  </si>
  <si>
    <t>(c)   the Contractor has approved the transaction by vote of independent directors, or a committee of independent directors, following full disclosure of the Related Party’s interests.</t>
  </si>
  <si>
    <t>Further, costs associated with a Related Party transaction which would not be Reimbursable Operating Costs to a Contractor under 808 CMR 1.02 and 808 CMR 1.05 are non-reimbursable. Transactions with a Related Party totaling less than $100 annually may be reimbursed at market prices.</t>
  </si>
  <si>
    <t>808 CMR 1.00: Compliance, Reporting and Auditing for Human and Social Services</t>
  </si>
  <si>
    <t xml:space="preserve">             1.05: Non-Reimbursable Costs</t>
  </si>
  <si>
    <t>Street:</t>
  </si>
  <si>
    <t>Purchase Date:</t>
  </si>
  <si>
    <t>Purchase Price:</t>
  </si>
  <si>
    <t>Amount Financed:</t>
  </si>
  <si>
    <t>Interest Rate:</t>
  </si>
  <si>
    <t>Term of Loan (yrs):</t>
  </si>
  <si>
    <t>Estimate of Annual Offsets (SSI/Food Stamps,etc.) :</t>
  </si>
  <si>
    <t xml:space="preserve">Title:  </t>
  </si>
  <si>
    <t>Date:</t>
  </si>
  <si>
    <t xml:space="preserve">Buildings: </t>
  </si>
  <si>
    <t>Type 1 - Fireproof Construction and Type 2 - Non-</t>
  </si>
  <si>
    <t xml:space="preserve">Combustible Construction (as classified by the State Board </t>
  </si>
  <si>
    <t xml:space="preserve">of Building Regulations and Standards in accordance with </t>
  </si>
  <si>
    <t xml:space="preserve">780 CMR 400.00) </t>
  </si>
  <si>
    <t xml:space="preserve">Type 3 - External Masonry Wall Construction and Type 4 - </t>
  </si>
  <si>
    <t xml:space="preserve">Frame Construction (as classified by the State Board of </t>
  </si>
  <si>
    <t xml:space="preserve">Building Regulations and Standards in accordance with 780 </t>
  </si>
  <si>
    <t xml:space="preserve">CMR 400.00) </t>
  </si>
  <si>
    <t xml:space="preserve">Life Safety Improvements: </t>
  </si>
  <si>
    <t xml:space="preserve">Building or leasehold improvements or equipment </t>
  </si>
  <si>
    <t xml:space="preserve">acquisitions made solely to satisfy the requirements of any </t>
  </si>
  <si>
    <t xml:space="preserve">Department regarding life safety or physical environment.  </t>
  </si>
  <si>
    <t xml:space="preserve">Purpose must be documented. </t>
  </si>
  <si>
    <t xml:space="preserve">The Massachusetts Code of Regulation 808 CMR 1.00 subscribes to the above but requires that depreciation be reported on the supplemental schedules on a straight-line basis over a service life not less than the periods given as follows: </t>
  </si>
  <si>
    <t xml:space="preserve">ASSET CATEGORY </t>
  </si>
  <si>
    <t>YEARS OF LIFE</t>
  </si>
  <si>
    <t>ANNUAL RATE</t>
  </si>
  <si>
    <t>Equipment</t>
  </si>
  <si>
    <t>Residential Furnishings</t>
  </si>
  <si>
    <t>-</t>
  </si>
  <si>
    <t>Annual Interest:</t>
  </si>
  <si>
    <t>Projected move in/start date:</t>
  </si>
  <si>
    <t>Summary of Projected Annual Occupancy Expenses</t>
  </si>
  <si>
    <t>Utilities</t>
  </si>
  <si>
    <t>Maintenance</t>
  </si>
  <si>
    <t>Food</t>
  </si>
  <si>
    <t>Total Depreciation</t>
  </si>
  <si>
    <r>
      <t xml:space="preserve">(8)  </t>
    </r>
    <r>
      <rPr>
        <u/>
        <sz val="9"/>
        <color indexed="8"/>
        <rFont val="Calibri"/>
        <family val="2"/>
      </rPr>
      <t>Related Party Transaction Costs</t>
    </r>
    <r>
      <rPr>
        <sz val="9"/>
        <color indexed="8"/>
        <rFont val="Calibri"/>
        <family val="2"/>
      </rPr>
      <t>.  Costs which are associated with a Related Party transaction are reimbursable only to the extent that the costs do not exceed the lower of either the market price or the Related Party’s actual costs.  Notwithstanding the above provision, Related Party transaction costs are reimbursable up to market price when the following conditions are satisfied:</t>
    </r>
  </si>
  <si>
    <t xml:space="preserve">Mortgage Interest / PILT/ Rent  </t>
  </si>
  <si>
    <t>BY TYPING MY NAME HERE, I AGREE THAT I HAVE REVIEWED AND APPROVED THE CONTENT OF THIS DOCUMENT.</t>
  </si>
  <si>
    <r>
      <t xml:space="preserve">Total Cost
</t>
    </r>
    <r>
      <rPr>
        <b/>
        <i/>
        <sz val="10"/>
        <color theme="1"/>
        <rFont val="Calibri"/>
        <family val="2"/>
        <scheme val="minor"/>
      </rPr>
      <t>(Purchase Price)</t>
    </r>
  </si>
  <si>
    <t>Non-Capital Household Expenses</t>
  </si>
  <si>
    <t>City:</t>
  </si>
  <si>
    <t>Zip:</t>
  </si>
  <si>
    <t>Title:</t>
  </si>
  <si>
    <t>Application Preparer:</t>
  </si>
  <si>
    <t>Acquisition Detail:</t>
  </si>
  <si>
    <t>Name of Provider Agency:</t>
  </si>
  <si>
    <t>[8]</t>
  </si>
  <si>
    <t>Land Cost:</t>
  </si>
  <si>
    <t>Interest Rate</t>
  </si>
  <si>
    <t>Purchase / Completion Date</t>
  </si>
  <si>
    <t>New Construction Information:</t>
  </si>
  <si>
    <t>Existing House Information:</t>
  </si>
  <si>
    <t>PILT (if N/A, enter 0):</t>
  </si>
  <si>
    <t>Land Financed:</t>
  </si>
  <si>
    <t>Construction Cost:</t>
  </si>
  <si>
    <t>Completion Date:</t>
  </si>
  <si>
    <t xml:space="preserve"> - </t>
  </si>
  <si>
    <t>Total Reductions per Guidelines</t>
  </si>
  <si>
    <t>TOTALS APPROVED</t>
  </si>
  <si>
    <t>TOTAL APPROVED EXPENSE FOR SITE</t>
  </si>
  <si>
    <t>Insurance</t>
  </si>
  <si>
    <t>Household</t>
  </si>
  <si>
    <t>Total Adjustments</t>
  </si>
  <si>
    <t>Monthly Billing Rate per person:</t>
  </si>
  <si>
    <t>Prepared by</t>
  </si>
  <si>
    <t xml:space="preserve">Is lessor a related party?  </t>
  </si>
  <si>
    <t>808 CMR 1.05(8)</t>
  </si>
  <si>
    <t>Assessed Land Value from assessor's office (purchase of existing houses only):</t>
  </si>
  <si>
    <t>Cost basis for building depreciation - existing house:</t>
  </si>
  <si>
    <t>Cost basis for building depreciation - new construction:</t>
  </si>
  <si>
    <t>Cost Basis for Depreciation</t>
  </si>
  <si>
    <t>Depreciation Schedule - Capital improvements, approved leasehold improvements, and depreciable items purchased with provider's funds.</t>
  </si>
  <si>
    <t>Construction Financed:</t>
  </si>
  <si>
    <t>I hereby certify that the figures above represent a good faith estimate of anticipated costs associated with the referenced location and that the figures will be subject to review, reconciliation and possible recoupment in the event that actual costs are less than reimbursement levels  (as described in the regulation,  101 CMR 420).  I also certify that this residence meets the particular needs of the individuals proposed for placement at this site.</t>
  </si>
  <si>
    <t>BY TYPING MY NAME HERE, I INDICATE THAT I HAVE REVIEWED THE CONTENT FOR COMPLETENESS.</t>
  </si>
  <si>
    <t>INSTRUCTIONS FOR COMPLETING THE APPLICATION</t>
  </si>
  <si>
    <t>[9]</t>
  </si>
  <si>
    <t>Ready to move in?</t>
  </si>
  <si>
    <t>Leasehold Improvements - Life Safety Improvements Only  (see below)</t>
  </si>
  <si>
    <t xml:space="preserve">Building/Improvements  </t>
  </si>
  <si>
    <t>Annual Lease Amount:</t>
  </si>
  <si>
    <t xml:space="preserve">Other Program Equipment:  </t>
  </si>
  <si>
    <t>Includes items such as ovens, washers, dryers, refrigerators, generator</t>
  </si>
  <si>
    <t>Adjustments</t>
  </si>
  <si>
    <t>2-4 unit building</t>
  </si>
  <si>
    <t>5 or more unit building</t>
  </si>
  <si>
    <t>2-4</t>
  </si>
  <si>
    <t>5+</t>
  </si>
  <si>
    <t>Site Type Display</t>
  </si>
  <si>
    <t>DataVal</t>
  </si>
  <si>
    <r>
      <t xml:space="preserve">Acquisition Type   </t>
    </r>
    <r>
      <rPr>
        <b/>
        <sz val="9"/>
        <color rgb="FF000000"/>
        <rFont val="Calibri"/>
        <family val="2"/>
      </rPr>
      <t>(select 1):</t>
    </r>
  </si>
  <si>
    <t>Applying to CEDAC for FCF?</t>
  </si>
  <si>
    <t>Metro Boston</t>
  </si>
  <si>
    <t>Acton</t>
  </si>
  <si>
    <t>Date EOHHS site approval was granted:</t>
  </si>
  <si>
    <t>Read the policy</t>
  </si>
  <si>
    <t xml:space="preserve">Engagement #: </t>
  </si>
  <si>
    <t>Region</t>
  </si>
  <si>
    <t>Central / West</t>
  </si>
  <si>
    <t>per person per month</t>
  </si>
  <si>
    <t>Southeast</t>
  </si>
  <si>
    <t>Northeast</t>
  </si>
  <si>
    <t>Max Allowable Rates per Designated Regions per   101 CMR 420.03(8)</t>
  </si>
  <si>
    <t>Arlington</t>
  </si>
  <si>
    <t>Ashland</t>
  </si>
  <si>
    <t>Bedford</t>
  </si>
  <si>
    <t>Belmont</t>
  </si>
  <si>
    <t>Boston</t>
  </si>
  <si>
    <t>Boxborough</t>
  </si>
  <si>
    <t>Braintree</t>
  </si>
  <si>
    <t>Brookline</t>
  </si>
  <si>
    <t>Burlington</t>
  </si>
  <si>
    <t>Cambridge</t>
  </si>
  <si>
    <t>Canton</t>
  </si>
  <si>
    <t>Carlisle</t>
  </si>
  <si>
    <t>Chelsea</t>
  </si>
  <si>
    <t>Cohasset</t>
  </si>
  <si>
    <t>Concord</t>
  </si>
  <si>
    <t>Dedham</t>
  </si>
  <si>
    <t>Dover</t>
  </si>
  <si>
    <t>Foxborough</t>
  </si>
  <si>
    <t>Framingham</t>
  </si>
  <si>
    <t>Hingham</t>
  </si>
  <si>
    <t>Holliston</t>
  </si>
  <si>
    <t>Hopkinton</t>
  </si>
  <si>
    <t>Hudson</t>
  </si>
  <si>
    <t>Lexington</t>
  </si>
  <si>
    <t>Lincoln</t>
  </si>
  <si>
    <t>Littleton</t>
  </si>
  <si>
    <t>Marlborough</t>
  </si>
  <si>
    <t>Medfield</t>
  </si>
  <si>
    <t>Millis</t>
  </si>
  <si>
    <t>Milton</t>
  </si>
  <si>
    <t>Natick</t>
  </si>
  <si>
    <t>Needham</t>
  </si>
  <si>
    <t>Newton</t>
  </si>
  <si>
    <t>Norfolk</t>
  </si>
  <si>
    <t>Northborough</t>
  </si>
  <si>
    <t>Norwell</t>
  </si>
  <si>
    <t>Norwood</t>
  </si>
  <si>
    <t>Plainville</t>
  </si>
  <si>
    <t>Quincy</t>
  </si>
  <si>
    <t>Revere</t>
  </si>
  <si>
    <t>Sharon</t>
  </si>
  <si>
    <t>Sherborn</t>
  </si>
  <si>
    <t>Somerville</t>
  </si>
  <si>
    <t>Southborough</t>
  </si>
  <si>
    <t>Stow</t>
  </si>
  <si>
    <t>Sudbury</t>
  </si>
  <si>
    <t>Walpole</t>
  </si>
  <si>
    <t>Waltham</t>
  </si>
  <si>
    <t>Watertown</t>
  </si>
  <si>
    <t>Wayland</t>
  </si>
  <si>
    <t>Wellesley</t>
  </si>
  <si>
    <t>Westborough</t>
  </si>
  <si>
    <t>Weston</t>
  </si>
  <si>
    <t>Westwood</t>
  </si>
  <si>
    <t>Wilmington</t>
  </si>
  <si>
    <t>Winchester</t>
  </si>
  <si>
    <t>Winthrop</t>
  </si>
  <si>
    <t>Woburn</t>
  </si>
  <si>
    <t>Wrentham</t>
  </si>
  <si>
    <t>Abington</t>
  </si>
  <si>
    <t>Amesbury</t>
  </si>
  <si>
    <t>Adams</t>
  </si>
  <si>
    <t>Central/West</t>
  </si>
  <si>
    <t>Acushnet</t>
  </si>
  <si>
    <t>Aquinnah</t>
  </si>
  <si>
    <t>Avon</t>
  </si>
  <si>
    <t>Barnstable</t>
  </si>
  <si>
    <t>Berkley</t>
  </si>
  <si>
    <t>Bourne</t>
  </si>
  <si>
    <t>Brewster</t>
  </si>
  <si>
    <t>Bridgewater</t>
  </si>
  <si>
    <t>Brockton</t>
  </si>
  <si>
    <t>Carver</t>
  </si>
  <si>
    <t>Chatham</t>
  </si>
  <si>
    <t>Chilmark</t>
  </si>
  <si>
    <t>Dartmouth</t>
  </si>
  <si>
    <t>Dennis</t>
  </si>
  <si>
    <t>Dighton</t>
  </si>
  <si>
    <t>Duxbury</t>
  </si>
  <si>
    <t>East Bridgewater</t>
  </si>
  <si>
    <t>Eastham</t>
  </si>
  <si>
    <t>Easton</t>
  </si>
  <si>
    <t>Edgartown</t>
  </si>
  <si>
    <t>Fairhaven</t>
  </si>
  <si>
    <t>Fall River</t>
  </si>
  <si>
    <t>Falmouth</t>
  </si>
  <si>
    <t>Freetown</t>
  </si>
  <si>
    <t>Gosnold</t>
  </si>
  <si>
    <t>Halifax</t>
  </si>
  <si>
    <t>Hanover</t>
  </si>
  <si>
    <t>Hanson</t>
  </si>
  <si>
    <t>Harwich</t>
  </si>
  <si>
    <t>Holbrook</t>
  </si>
  <si>
    <t>Hull</t>
  </si>
  <si>
    <t>Kingston</t>
  </si>
  <si>
    <t>Lakeville</t>
  </si>
  <si>
    <t>Mansfield</t>
  </si>
  <si>
    <t>Marion</t>
  </si>
  <si>
    <t>Marshfield</t>
  </si>
  <si>
    <t>Mashpee</t>
  </si>
  <si>
    <t>Mattapoisett</t>
  </si>
  <si>
    <t>Middleborough</t>
  </si>
  <si>
    <t>Nantucket</t>
  </si>
  <si>
    <t>New Bedford</t>
  </si>
  <si>
    <t>North Attleborough</t>
  </si>
  <si>
    <t>Norton</t>
  </si>
  <si>
    <t>Oak Bluffs</t>
  </si>
  <si>
    <t>Orleans</t>
  </si>
  <si>
    <t>Pembroke</t>
  </si>
  <si>
    <t>Plymouth</t>
  </si>
  <si>
    <t>Plympton</t>
  </si>
  <si>
    <t>Provincetown</t>
  </si>
  <si>
    <t>Randolph</t>
  </si>
  <si>
    <t>Raynham</t>
  </si>
  <si>
    <t>Rehoboth</t>
  </si>
  <si>
    <t>Rochester</t>
  </si>
  <si>
    <t>Rockland</t>
  </si>
  <si>
    <t>Sandwich</t>
  </si>
  <si>
    <t>Scituate</t>
  </si>
  <si>
    <t>Seekonk</t>
  </si>
  <si>
    <t>Somerset</t>
  </si>
  <si>
    <t>Stoughton</t>
  </si>
  <si>
    <t>Swansea</t>
  </si>
  <si>
    <t>Taunton</t>
  </si>
  <si>
    <t>Tisbury</t>
  </si>
  <si>
    <t>Truro</t>
  </si>
  <si>
    <t>Wareham</t>
  </si>
  <si>
    <t>Wellfleet</t>
  </si>
  <si>
    <t>West Bridgewater</t>
  </si>
  <si>
    <t>West Tisbury</t>
  </si>
  <si>
    <t>Westport</t>
  </si>
  <si>
    <t>Weymouth</t>
  </si>
  <si>
    <t>Whitman</t>
  </si>
  <si>
    <t>Yarmouth</t>
  </si>
  <si>
    <t>Andover</t>
  </si>
  <si>
    <t>Beverly</t>
  </si>
  <si>
    <t>Billerica</t>
  </si>
  <si>
    <t>Boxford</t>
  </si>
  <si>
    <t>Chelmsford</t>
  </si>
  <si>
    <t>Danvers</t>
  </si>
  <si>
    <t>Dracut</t>
  </si>
  <si>
    <t>Dunstable</t>
  </si>
  <si>
    <t>Essex</t>
  </si>
  <si>
    <t>Everett</t>
  </si>
  <si>
    <t>Georgetown</t>
  </si>
  <si>
    <t>Gloucester</t>
  </si>
  <si>
    <t>Groveland</t>
  </si>
  <si>
    <t>Hamilton</t>
  </si>
  <si>
    <t>Haverhill</t>
  </si>
  <si>
    <t>Ipswich</t>
  </si>
  <si>
    <t>Lawrence</t>
  </si>
  <si>
    <t>Lowell</t>
  </si>
  <si>
    <t>Lynn</t>
  </si>
  <si>
    <t>Lynnfield</t>
  </si>
  <si>
    <t>Malden</t>
  </si>
  <si>
    <t>Manchester by the Sea</t>
  </si>
  <si>
    <t>Marblehead</t>
  </si>
  <si>
    <t>Maynard</t>
  </si>
  <si>
    <t>Medford</t>
  </si>
  <si>
    <t>Melrose</t>
  </si>
  <si>
    <t>Merrimac</t>
  </si>
  <si>
    <t>Methuen</t>
  </si>
  <si>
    <t>Middleton</t>
  </si>
  <si>
    <t>Nahant</t>
  </si>
  <si>
    <t>Newbury</t>
  </si>
  <si>
    <t>Newburyport</t>
  </si>
  <si>
    <t>North Andover</t>
  </si>
  <si>
    <t>North Reading</t>
  </si>
  <si>
    <t>Peabody</t>
  </si>
  <si>
    <t>Reading</t>
  </si>
  <si>
    <t>Rockport</t>
  </si>
  <si>
    <t>Rowley</t>
  </si>
  <si>
    <t>Salem</t>
  </si>
  <si>
    <t>Salisbury</t>
  </si>
  <si>
    <t>Saugus</t>
  </si>
  <si>
    <t>Stoneham</t>
  </si>
  <si>
    <t>Swampscott</t>
  </si>
  <si>
    <t>Tewksbury</t>
  </si>
  <si>
    <t>Topsfield</t>
  </si>
  <si>
    <t>Tyngsborough</t>
  </si>
  <si>
    <t>Wakefield</t>
  </si>
  <si>
    <t>Wenham</t>
  </si>
  <si>
    <t>West Newbury</t>
  </si>
  <si>
    <t>Westford</t>
  </si>
  <si>
    <t>Agawam</t>
  </si>
  <si>
    <t>Alford</t>
  </si>
  <si>
    <t>Amherst</t>
  </si>
  <si>
    <t>Ashburnham</t>
  </si>
  <si>
    <t>Ashby</t>
  </si>
  <si>
    <t>Ashfield</t>
  </si>
  <si>
    <t>Athol</t>
  </si>
  <si>
    <t>Auburn</t>
  </si>
  <si>
    <t>Ayer</t>
  </si>
  <si>
    <t>Barre</t>
  </si>
  <si>
    <t>Becket</t>
  </si>
  <si>
    <t>Belchertown</t>
  </si>
  <si>
    <t>Bellingham</t>
  </si>
  <si>
    <t>Berlin</t>
  </si>
  <si>
    <t>Bernardston</t>
  </si>
  <si>
    <t>Blackstone</t>
  </si>
  <si>
    <t>Blandford</t>
  </si>
  <si>
    <t>Bolton</t>
  </si>
  <si>
    <t>Brimfield</t>
  </si>
  <si>
    <t>Brookfield</t>
  </si>
  <si>
    <t>Buckland</t>
  </si>
  <si>
    <t>Charlemont</t>
  </si>
  <si>
    <t>Charlton</t>
  </si>
  <si>
    <t>Cheshire</t>
  </si>
  <si>
    <t>Chester</t>
  </si>
  <si>
    <t>Chesterfield</t>
  </si>
  <si>
    <t>Chicopee</t>
  </si>
  <si>
    <t>Clarksburg</t>
  </si>
  <si>
    <t>Clinton</t>
  </si>
  <si>
    <t>Colrain</t>
  </si>
  <si>
    <t>Conway</t>
  </si>
  <si>
    <t>Cummington</t>
  </si>
  <si>
    <t>Dalton</t>
  </si>
  <si>
    <t>Deerfield</t>
  </si>
  <si>
    <t>Douglas</t>
  </si>
  <si>
    <t>Dudley</t>
  </si>
  <si>
    <t>East Brookfield</t>
  </si>
  <si>
    <t>East Longmeadow</t>
  </si>
  <si>
    <t>Easthampton</t>
  </si>
  <si>
    <t>Egremont</t>
  </si>
  <si>
    <t>Erving</t>
  </si>
  <si>
    <t>Fitchburg</t>
  </si>
  <si>
    <t>Florida</t>
  </si>
  <si>
    <t>Franklin</t>
  </si>
  <si>
    <t>Gardner</t>
  </si>
  <si>
    <t>Gill</t>
  </si>
  <si>
    <t>Goshen</t>
  </si>
  <si>
    <t>Grafton</t>
  </si>
  <si>
    <t>Granby</t>
  </si>
  <si>
    <t>Granville</t>
  </si>
  <si>
    <t>Great Barrington</t>
  </si>
  <si>
    <t>Greenfield</t>
  </si>
  <si>
    <t>Groton</t>
  </si>
  <si>
    <t>Hadley</t>
  </si>
  <si>
    <t>Hampden</t>
  </si>
  <si>
    <t>Hancock</t>
  </si>
  <si>
    <t>Hardwick</t>
  </si>
  <si>
    <t>Harvard</t>
  </si>
  <si>
    <t>Hatfield</t>
  </si>
  <si>
    <t>Hawley</t>
  </si>
  <si>
    <t>Heath</t>
  </si>
  <si>
    <t>Hinsdale</t>
  </si>
  <si>
    <t>Holden</t>
  </si>
  <si>
    <t>Holland</t>
  </si>
  <si>
    <t>Holyoke</t>
  </si>
  <si>
    <t>Hopedale</t>
  </si>
  <si>
    <t>Hubbardston</t>
  </si>
  <si>
    <t>Huntington</t>
  </si>
  <si>
    <t>Lancaster</t>
  </si>
  <si>
    <t>Lanesborough</t>
  </si>
  <si>
    <t>Lee</t>
  </si>
  <si>
    <t>Leicester</t>
  </si>
  <si>
    <t>Lenox</t>
  </si>
  <si>
    <t>Leominster</t>
  </si>
  <si>
    <t>Leverett</t>
  </si>
  <si>
    <t>Leyden</t>
  </si>
  <si>
    <t>Longmeadow</t>
  </si>
  <si>
    <t>Ludlow</t>
  </si>
  <si>
    <t>Lunenburg</t>
  </si>
  <si>
    <t>Medway</t>
  </si>
  <si>
    <t>Mendon</t>
  </si>
  <si>
    <t>Middlefield</t>
  </si>
  <si>
    <t>Milford</t>
  </si>
  <si>
    <t>Millbury</t>
  </si>
  <si>
    <t>Millville</t>
  </si>
  <si>
    <t>Monroe</t>
  </si>
  <si>
    <t>Monson</t>
  </si>
  <si>
    <t>Montague</t>
  </si>
  <si>
    <t>Monterey</t>
  </si>
  <si>
    <t>Montgomery</t>
  </si>
  <si>
    <t>New Ashford</t>
  </si>
  <si>
    <t>New Braintree</t>
  </si>
  <si>
    <t>New Marlborough</t>
  </si>
  <si>
    <t>New Salem</t>
  </si>
  <si>
    <t>North Adams</t>
  </si>
  <si>
    <t>North Brookfield</t>
  </si>
  <si>
    <t>Northampton</t>
  </si>
  <si>
    <t>Northbridge</t>
  </si>
  <si>
    <t>Northfield</t>
  </si>
  <si>
    <t>Oakham</t>
  </si>
  <si>
    <t>Orange</t>
  </si>
  <si>
    <t>Otis</t>
  </si>
  <si>
    <t>Oxford</t>
  </si>
  <si>
    <t>Palmer</t>
  </si>
  <si>
    <t>Paxton</t>
  </si>
  <si>
    <t>Pelham</t>
  </si>
  <si>
    <t>Pepperell</t>
  </si>
  <si>
    <t>Peru</t>
  </si>
  <si>
    <t>Petersham</t>
  </si>
  <si>
    <t>Phillipston</t>
  </si>
  <si>
    <t>Pittsfield</t>
  </si>
  <si>
    <t>Plainfield</t>
  </si>
  <si>
    <t>Princeton</t>
  </si>
  <si>
    <t>Richmond</t>
  </si>
  <si>
    <t>Rowe</t>
  </si>
  <si>
    <t>Royalston</t>
  </si>
  <si>
    <t>Russell</t>
  </si>
  <si>
    <t>Rutland</t>
  </si>
  <si>
    <t>Sandisfield</t>
  </si>
  <si>
    <t>Savoy</t>
  </si>
  <si>
    <t>Sheffield</t>
  </si>
  <si>
    <t>Shelburne</t>
  </si>
  <si>
    <t>Shirley</t>
  </si>
  <si>
    <t>Shrewsbury</t>
  </si>
  <si>
    <t>Shutesbury</t>
  </si>
  <si>
    <t>South Hadley</t>
  </si>
  <si>
    <t>Southampton</t>
  </si>
  <si>
    <t>Southbridge</t>
  </si>
  <si>
    <t>Southwick</t>
  </si>
  <si>
    <t>Spencer</t>
  </si>
  <si>
    <t>Springfield</t>
  </si>
  <si>
    <t>Sterling</t>
  </si>
  <si>
    <t>Stockbridge</t>
  </si>
  <si>
    <t>Sturbridge</t>
  </si>
  <si>
    <t>Sunderland</t>
  </si>
  <si>
    <t>Sutton</t>
  </si>
  <si>
    <t>Templeton</t>
  </si>
  <si>
    <t>Tolland</t>
  </si>
  <si>
    <t>Townsend</t>
  </si>
  <si>
    <t>Tyringham</t>
  </si>
  <si>
    <t>Upton</t>
  </si>
  <si>
    <t>Uxbridge</t>
  </si>
  <si>
    <t>Wales</t>
  </si>
  <si>
    <t>Ware</t>
  </si>
  <si>
    <t>Warren</t>
  </si>
  <si>
    <t>Warwick</t>
  </si>
  <si>
    <t>Washington</t>
  </si>
  <si>
    <t>Webster</t>
  </si>
  <si>
    <t>Wendell</t>
  </si>
  <si>
    <t>West Boylston</t>
  </si>
  <si>
    <t>West Brookfield</t>
  </si>
  <si>
    <t>West Springfield</t>
  </si>
  <si>
    <t>West Stockbridge</t>
  </si>
  <si>
    <t>Westfield</t>
  </si>
  <si>
    <t>Westhampton</t>
  </si>
  <si>
    <t>Westminster</t>
  </si>
  <si>
    <t>Whately</t>
  </si>
  <si>
    <t>Wilbraham</t>
  </si>
  <si>
    <t>Williamsburg</t>
  </si>
  <si>
    <t>Williamstown</t>
  </si>
  <si>
    <t>Winchendon</t>
  </si>
  <si>
    <t>Windsor</t>
  </si>
  <si>
    <t>Worcester</t>
  </si>
  <si>
    <t>Worthington</t>
  </si>
  <si>
    <t>State:</t>
  </si>
  <si>
    <t>MA</t>
  </si>
  <si>
    <t>Massachusetts City</t>
  </si>
  <si>
    <t>NH</t>
  </si>
  <si>
    <t>State</t>
  </si>
  <si>
    <t>AL</t>
  </si>
  <si>
    <t>AK</t>
  </si>
  <si>
    <t>AZ</t>
  </si>
  <si>
    <t>AR</t>
  </si>
  <si>
    <t>CA</t>
  </si>
  <si>
    <t>CO</t>
  </si>
  <si>
    <t>CT</t>
  </si>
  <si>
    <t>DE</t>
  </si>
  <si>
    <t>DC</t>
  </si>
  <si>
    <t>FL</t>
  </si>
  <si>
    <t>GA</t>
  </si>
  <si>
    <t>HI</t>
  </si>
  <si>
    <t>ID</t>
  </si>
  <si>
    <t>IL</t>
  </si>
  <si>
    <t>IN</t>
  </si>
  <si>
    <t>IA</t>
  </si>
  <si>
    <t>KS</t>
  </si>
  <si>
    <t>KY</t>
  </si>
  <si>
    <t>LA</t>
  </si>
  <si>
    <t>ME</t>
  </si>
  <si>
    <t>MD</t>
  </si>
  <si>
    <t>MS</t>
  </si>
  <si>
    <t>MI</t>
  </si>
  <si>
    <t>MN</t>
  </si>
  <si>
    <t>MO</t>
  </si>
  <si>
    <t>MT</t>
  </si>
  <si>
    <t>NE</t>
  </si>
  <si>
    <t>NV</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</si>
  <si>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</si>
  <si>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</si>
  <si>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</si>
  <si>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</si>
  <si>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</si>
  <si>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</si>
  <si>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</si>
  <si>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</si>
  <si>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</si>
  <si>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</si>
  <si>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</si>
  <si>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</si>
  <si>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</si>
  <si>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</si>
  <si>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</si>
  <si>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</si>
  <si>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</si>
  <si>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</si>
  <si>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</si>
  <si>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</si>
  <si>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</si>
  <si>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</si>
  <si>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</si>
  <si>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</si>
  <si>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</si>
  <si>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</si>
  <si>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Region:</t>
  </si>
  <si>
    <t>add instructions  Who the hell said so?  Give us proof.</t>
  </si>
  <si>
    <t>Berkshire</t>
  </si>
  <si>
    <t>Franklin/Hampshire</t>
  </si>
  <si>
    <t>Holyoke/Chicopee</t>
  </si>
  <si>
    <t>North Central</t>
  </si>
  <si>
    <t>South Valley</t>
  </si>
  <si>
    <t>Springfield/Westfield</t>
  </si>
  <si>
    <t>Ch. River West</t>
  </si>
  <si>
    <t>Greater Boston</t>
  </si>
  <si>
    <t>Middlesex West</t>
  </si>
  <si>
    <t>Newton/South Norfolk</t>
  </si>
  <si>
    <t>Central Middlesex</t>
  </si>
  <si>
    <t>Metro North</t>
  </si>
  <si>
    <t>Merrimack Valley</t>
  </si>
  <si>
    <t>North Shore</t>
  </si>
  <si>
    <t>ABI MFP Res Metro</t>
  </si>
  <si>
    <t>Cape Cod &amp; Islands</t>
  </si>
  <si>
    <t>South Coastal</t>
  </si>
  <si>
    <t>Taunton/Attleboro</t>
  </si>
  <si>
    <t>Other</t>
  </si>
  <si>
    <t>Property &amp; Casualty Insurance</t>
  </si>
  <si>
    <t>Commonwealth Agency Central Office Rep:</t>
  </si>
  <si>
    <t>MCB</t>
  </si>
  <si>
    <t>MRC</t>
  </si>
  <si>
    <t>Central Office</t>
  </si>
  <si>
    <t>ABI MFP Res NE</t>
  </si>
  <si>
    <t>ABI MFP Res SE</t>
  </si>
  <si>
    <t>101 CMR 420: Rates for Adult Long Term Residential Services</t>
  </si>
  <si>
    <t>General Information</t>
  </si>
  <si>
    <t xml:space="preserve">Break: </t>
  </si>
  <si>
    <t>Area_Contact</t>
  </si>
  <si>
    <t>Area_Title</t>
  </si>
  <si>
    <t>Area_Office</t>
  </si>
  <si>
    <t>ProviderName</t>
  </si>
  <si>
    <t>Engagement</t>
  </si>
  <si>
    <t>TotalCapacity</t>
  </si>
  <si>
    <t>ALTRCapacity</t>
  </si>
  <si>
    <t>Acquisition_Type</t>
  </si>
  <si>
    <t xml:space="preserve">Related_Party </t>
  </si>
  <si>
    <t>Ready_To_Move</t>
  </si>
  <si>
    <t>Purch_Date</t>
  </si>
  <si>
    <t>AnnInterestExisting</t>
  </si>
  <si>
    <t>Land_Cost</t>
  </si>
  <si>
    <t>Land_Fin</t>
  </si>
  <si>
    <t>Conts_Cost</t>
  </si>
  <si>
    <t>Conts_Financed</t>
  </si>
  <si>
    <t>Comp_Date</t>
  </si>
  <si>
    <t>Intr_Rate_New</t>
  </si>
  <si>
    <t>Loan_yrs_New</t>
  </si>
  <si>
    <t>AnnInterestConstr</t>
  </si>
  <si>
    <t>LeaseAmount</t>
  </si>
  <si>
    <t>AnnLeaseAmt</t>
  </si>
  <si>
    <t>EOHHS_AppDate</t>
  </si>
  <si>
    <t>CEDACAPPLIED</t>
  </si>
  <si>
    <t>B_TotalCost</t>
  </si>
  <si>
    <t>C_TotalCost</t>
  </si>
  <si>
    <t>D_TotalCost</t>
  </si>
  <si>
    <t>E_TotalCost</t>
  </si>
  <si>
    <t>F_TotalCost</t>
  </si>
  <si>
    <t>G_TotalCost</t>
  </si>
  <si>
    <t>H_TotalCost</t>
  </si>
  <si>
    <t>Street</t>
  </si>
  <si>
    <t>City</t>
  </si>
  <si>
    <t>ZIP</t>
  </si>
  <si>
    <t>Site_ Type</t>
  </si>
  <si>
    <t>Construction</t>
  </si>
  <si>
    <t>ExistHouse_Purch_Price</t>
  </si>
  <si>
    <t>ExistHouse_Amnt_Financed</t>
  </si>
  <si>
    <t>ExistHouse_Int_Rate_Exist</t>
  </si>
  <si>
    <t>ExistHouse_Loan_yrs</t>
  </si>
  <si>
    <t>ExistHouse_PILT</t>
  </si>
  <si>
    <t>ABI  Cap</t>
  </si>
  <si>
    <t>If capexemption = true, change label and change conditinoal crossout</t>
  </si>
  <si>
    <t>If capexemption = true, this row is blank</t>
  </si>
  <si>
    <t>Fix warnings</t>
  </si>
  <si>
    <t>agency rules only</t>
  </si>
  <si>
    <t>Agency Approval</t>
  </si>
  <si>
    <t>IF(CapException, "( n / a )     ", IF(AND(RegionalCap &gt; 0,  RegionalCap &lt; PerPersonBeforeOfffsets), "Max Monthly Rate for Region or ABI:", ""))</t>
  </si>
  <si>
    <t>State Agency Use Only</t>
  </si>
  <si>
    <t>ABI Cap + 1</t>
  </si>
  <si>
    <t>ABI</t>
  </si>
  <si>
    <t>CapitalLease</t>
  </si>
  <si>
    <t>FY19</t>
  </si>
  <si>
    <t>CEDAC</t>
  </si>
  <si>
    <t>ABI Cap</t>
  </si>
  <si>
    <t>none</t>
  </si>
  <si>
    <t>Reg cap + 1</t>
  </si>
  <si>
    <t>Reg cap</t>
  </si>
  <si>
    <t>Rate &amp; Cap Code</t>
  </si>
  <si>
    <t>`</t>
  </si>
  <si>
    <t>Rate Cap Logic Table</t>
  </si>
  <si>
    <t>Provider:</t>
  </si>
  <si>
    <t>Cap Descr</t>
  </si>
  <si>
    <t>Current Cap Code</t>
  </si>
  <si>
    <t>CEDACDate</t>
  </si>
  <si>
    <t>Assess_LandVal</t>
  </si>
  <si>
    <t>CostBasisDeprecExisting</t>
  </si>
  <si>
    <t>CostBasisDeprecNew</t>
  </si>
  <si>
    <t>A_DeprecBldg_CompDate</t>
  </si>
  <si>
    <t>A_DeprecBldg_TotalCost</t>
  </si>
  <si>
    <t>A_DeprecBldg_SrvLife</t>
  </si>
  <si>
    <t>A_DeprecBldg_AnnDeprec</t>
  </si>
  <si>
    <t>B_Descr</t>
  </si>
  <si>
    <t>B_CompDate</t>
  </si>
  <si>
    <t>A_CostBasisDeprec</t>
  </si>
  <si>
    <t>B_CostBasisDeprec</t>
  </si>
  <si>
    <t>B_SrvLife</t>
  </si>
  <si>
    <t>B_AnnDeprec</t>
  </si>
  <si>
    <t>C_Descr</t>
  </si>
  <si>
    <t>C_CompDate</t>
  </si>
  <si>
    <t>C_CostBasisDeprec</t>
  </si>
  <si>
    <t>C_SrvLife</t>
  </si>
  <si>
    <t>C_AnnDeprec</t>
  </si>
  <si>
    <t>D_Descr</t>
  </si>
  <si>
    <t>D_CompDate</t>
  </si>
  <si>
    <t>D_CostBasisDeprec</t>
  </si>
  <si>
    <t>D_SrvLife</t>
  </si>
  <si>
    <t>D_AnnDeprec</t>
  </si>
  <si>
    <t>E_Descr</t>
  </si>
  <si>
    <t>E_CompDate</t>
  </si>
  <si>
    <t>E_CostBasisDeprec</t>
  </si>
  <si>
    <t>E_SrvLife</t>
  </si>
  <si>
    <t>E_AnnDeprec</t>
  </si>
  <si>
    <t>F_Descr</t>
  </si>
  <si>
    <t>F_CompDate</t>
  </si>
  <si>
    <t>F_CostBasisDeprec</t>
  </si>
  <si>
    <t>F_SrvLife</t>
  </si>
  <si>
    <t>F_AnnDeprec</t>
  </si>
  <si>
    <t>G_Descr</t>
  </si>
  <si>
    <t>G_CompDate</t>
  </si>
  <si>
    <t>G_CostBasisDeprec</t>
  </si>
  <si>
    <t>G_SrvLife</t>
  </si>
  <si>
    <t>G_AnnDeprec</t>
  </si>
  <si>
    <t>H_Descr</t>
  </si>
  <si>
    <t>H_CompDate</t>
  </si>
  <si>
    <t>H_CostBasisDeprec</t>
  </si>
  <si>
    <t>H_SrvLife</t>
  </si>
  <si>
    <t>H_AnnDeprec</t>
  </si>
  <si>
    <t>Total_Deprec</t>
  </si>
  <si>
    <t>Total Monthly Billing at stated ALTR - Funded Capacity:</t>
  </si>
  <si>
    <t>Name:</t>
  </si>
  <si>
    <t>Exp_MorgInt_PILT_Rent</t>
  </si>
  <si>
    <t>Exp_Sum_TotalDepri</t>
  </si>
  <si>
    <t>Exp_Util_Cost</t>
  </si>
  <si>
    <t>Exp_Util_Life</t>
  </si>
  <si>
    <t>Exp_Util_AnnDeprec</t>
  </si>
  <si>
    <t>Exp_Maint_Cost</t>
  </si>
  <si>
    <t>Exp_Maint_Life</t>
  </si>
  <si>
    <t>Exp_Maint_AnnDeprec</t>
  </si>
  <si>
    <t>Exp_Ins_Cost</t>
  </si>
  <si>
    <t>Exp_Ins_Life</t>
  </si>
  <si>
    <t>Exp_Ins_AnnDeprec</t>
  </si>
  <si>
    <t>Exp_Household_Cost</t>
  </si>
  <si>
    <t>Exp_Household_Life</t>
  </si>
  <si>
    <t>Exp_Household_AnnDeprec</t>
  </si>
  <si>
    <t>Exp_Food_Cost</t>
  </si>
  <si>
    <t>Exp_Food_Life</t>
  </si>
  <si>
    <t>Exp_Food_AnnDeprec</t>
  </si>
  <si>
    <t>Exp_Total</t>
  </si>
  <si>
    <t>Exp_TotalReduct</t>
  </si>
  <si>
    <t>Exp_ProjAnn</t>
  </si>
  <si>
    <t>Rate_MonthlyPerCons</t>
  </si>
  <si>
    <t>Rate_Cap_MonthlyPerCons</t>
  </si>
  <si>
    <t>Rate_Monthly_PerFundedCap</t>
  </si>
  <si>
    <t>ExceptionOverride</t>
  </si>
  <si>
    <t>ProvTitle</t>
  </si>
  <si>
    <t>ProvSig</t>
  </si>
  <si>
    <t>ProvSigDate</t>
  </si>
  <si>
    <t>SATitle</t>
  </si>
  <si>
    <t>SASigDate</t>
  </si>
  <si>
    <t>Offsets</t>
  </si>
  <si>
    <t>ProjStartDt</t>
  </si>
  <si>
    <t>AgencyApprovalDt</t>
  </si>
  <si>
    <t>CurrDate</t>
  </si>
  <si>
    <t>Est. Expenses</t>
  </si>
  <si>
    <t>Total Depreciation:</t>
  </si>
  <si>
    <t>Move-in information</t>
  </si>
  <si>
    <t xml:space="preserve">Text for Rate Cap </t>
  </si>
  <si>
    <t xml:space="preserve"> </t>
  </si>
  <si>
    <t>Cap Value</t>
  </si>
  <si>
    <t>Rate Cap Value:</t>
  </si>
  <si>
    <t>Rate Cap Text</t>
  </si>
  <si>
    <t>Regional Cap applied:</t>
  </si>
  <si>
    <t>States &amp; Territories</t>
  </si>
  <si>
    <t>DDS Area  Office / State Agency:</t>
  </si>
  <si>
    <t>ABI Rate Caps</t>
  </si>
  <si>
    <r>
      <t>Max Rate</t>
    </r>
    <r>
      <rPr>
        <b/>
        <sz val="9"/>
        <color rgb="FF0070C0"/>
        <rFont val="Calibri"/>
        <family val="2"/>
        <scheme val="minor"/>
      </rPr>
      <t xml:space="preserve"> per Person / Month</t>
    </r>
  </si>
  <si>
    <r>
      <t>Max Rate + 1 level</t>
    </r>
    <r>
      <rPr>
        <b/>
        <sz val="9"/>
        <color rgb="FF0070C0"/>
        <rFont val="Calibri"/>
        <family val="2"/>
        <scheme val="minor"/>
      </rPr>
      <t xml:space="preserve"> per person/Month</t>
    </r>
  </si>
  <si>
    <t>AgencyNotes</t>
  </si>
  <si>
    <t>Version Notes</t>
  </si>
  <si>
    <t>Fixed J55 to include only expense totals</t>
  </si>
  <si>
    <t>Total Estimated Expenses</t>
  </si>
  <si>
    <t>Changed title proj ann occup exp</t>
  </si>
  <si>
    <t>Projected Annual Occupancy Expense for Site:</t>
  </si>
  <si>
    <t>backup prop cap with named cells</t>
  </si>
  <si>
    <t>Property &amp; Casualty Cap Logic Table</t>
  </si>
  <si>
    <t>Lease</t>
  </si>
  <si>
    <t>Purchase or Capital Lease</t>
  </si>
  <si>
    <t>PropCapInsCode</t>
  </si>
  <si>
    <t>Insurance Cap Amount</t>
  </si>
  <si>
    <t>Lower Limit of Rate Range</t>
  </si>
  <si>
    <t>Reductions per Applicable Caps</t>
  </si>
  <si>
    <t>Owner of Record:</t>
  </si>
  <si>
    <t>Added Owner of Record</t>
  </si>
  <si>
    <t>OwnerOfRecord</t>
  </si>
  <si>
    <t>Existing / New checkboxes below are for purchased units only.</t>
  </si>
  <si>
    <t>Changed house to "existing structure" and updated warning logic</t>
  </si>
  <si>
    <t>Dev Session Note: Select one const type should only be triggered if they select purchase  Not needed for capital lease</t>
  </si>
  <si>
    <t>lagecy code: =IF(AND(Purchase=TRUE,ExistingHouse+NewConstruction&lt;&gt;1),"Required: Select ONE construction type",IF(ExistingHouse+NewConstruction&lt;&gt;1,"Select ONE construction type:",""))</t>
  </si>
  <si>
    <t>moved warning arrors and made visible  Does wingding font work on Macs?</t>
  </si>
  <si>
    <t>Information Only Monthly Rate                (day rate * 365 / 12)</t>
  </si>
  <si>
    <r>
      <t xml:space="preserve">Old logic for named cell SiteApprovalGTEQFY19 (A185) modified 12/2020 by RClift: </t>
    </r>
    <r>
      <rPr>
        <i/>
        <sz val="10"/>
        <color rgb="FF0070C0"/>
        <rFont val="Calibri"/>
        <family val="2"/>
        <scheme val="minor"/>
      </rPr>
      <t>SiteApprovalDate &gt;= DATE(2018,7,1)</t>
    </r>
  </si>
  <si>
    <t>12/2020 note- FY19 - True for all dates &gt;= 7/1/14</t>
  </si>
  <si>
    <t>Added for not capital leases 1/2021</t>
  </si>
  <si>
    <t>RateAppVersion</t>
  </si>
  <si>
    <t>Capacity Purchased Under This Contract:</t>
  </si>
  <si>
    <t>Property Address :</t>
  </si>
  <si>
    <t>UnitNum</t>
  </si>
  <si>
    <t xml:space="preserve">Site Building Type:   </t>
  </si>
  <si>
    <t>ALTR Occupancy Rate Application</t>
  </si>
  <si>
    <t>&lt;- New 6/22 Contract Type</t>
  </si>
  <si>
    <t>DDS ID</t>
  </si>
  <si>
    <t>Contract Type Code</t>
  </si>
  <si>
    <t>Contract Type Text</t>
  </si>
  <si>
    <t>DDS ABI</t>
  </si>
  <si>
    <t>ContrTypeCode</t>
  </si>
  <si>
    <t>ContrType</t>
  </si>
  <si>
    <t>DDS Other</t>
  </si>
  <si>
    <t>DDS Emerg 3182</t>
  </si>
  <si>
    <t>1 unit building</t>
  </si>
  <si>
    <t>DDS Respite 3759</t>
  </si>
  <si>
    <t>Rate Range Index</t>
  </si>
  <si>
    <t>N/A</t>
  </si>
  <si>
    <t>&lt;- replacement</t>
  </si>
  <si>
    <t>Engagament CRS</t>
  </si>
  <si>
    <t>&lt;- ABI CAP</t>
  </si>
  <si>
    <t>&lt;- ABI CAP+1</t>
  </si>
  <si>
    <t>Old FY22 Logic: IF((DDSRes+DDSABI+MCBRes+MRCRes=1),IF(DDSABI,ABIMonthlyCAP,IF(ISERROR(VLOOKUP(RegionSelected,'Cities &amp; Regions'!B8:C358,2)),0,VLOOKUP(RegionSelected,'Cities &amp; Regions'!B8:D358,2))),0)</t>
  </si>
  <si>
    <t>Old:</t>
  </si>
  <si>
    <t xml:space="preserve">Cells requiring data input are filled with light blue.  Yellow cells contain calculated information. The yellow cells are locked.  </t>
  </si>
  <si>
    <r>
      <t xml:space="preserve">The presence of a RED notation on the application (such as </t>
    </r>
    <r>
      <rPr>
        <b/>
        <sz val="12"/>
        <color rgb="FFFF0000"/>
        <rFont val="Calibri"/>
        <family val="2"/>
        <scheme val="minor"/>
      </rPr>
      <t>?</t>
    </r>
    <r>
      <rPr>
        <sz val="12"/>
        <color theme="1"/>
        <rFont val="Calibri"/>
        <family val="2"/>
        <scheme val="minor"/>
      </rPr>
      <t xml:space="preserve">, </t>
    </r>
    <r>
      <rPr>
        <b/>
        <sz val="12"/>
        <color rgb="FFFF0000"/>
        <rFont val="Calibri"/>
        <family val="2"/>
        <scheme val="minor"/>
      </rPr>
      <t>&lt;------</t>
    </r>
    <r>
      <rPr>
        <sz val="12"/>
        <color theme="1"/>
        <rFont val="Calibri"/>
        <family val="2"/>
        <scheme val="minor"/>
      </rPr>
      <t xml:space="preserve">, </t>
    </r>
    <r>
      <rPr>
        <b/>
        <sz val="12"/>
        <color rgb="FFFF0000"/>
        <rFont val="Calibri"/>
        <family val="2"/>
        <scheme val="minor"/>
      </rPr>
      <t>TITLE</t>
    </r>
    <r>
      <rPr>
        <sz val="12"/>
        <color theme="1"/>
        <rFont val="Calibri"/>
        <family val="2"/>
        <scheme val="minor"/>
      </rPr>
      <t xml:space="preserve">, etc.) indicates that the cell to which the notation refers needs an entry or requires correction. The red notation will disappear when the item has been corrected.   </t>
    </r>
  </si>
  <si>
    <t>Rate Type:</t>
  </si>
  <si>
    <t>Location Code</t>
  </si>
  <si>
    <r>
      <t>Lease / Capital Lease Information  (</t>
    </r>
    <r>
      <rPr>
        <u/>
        <sz val="10"/>
        <color theme="1"/>
        <rFont val="Calibri"/>
        <family val="2"/>
        <scheme val="minor"/>
      </rPr>
      <t>Not for purchases</t>
    </r>
    <r>
      <rPr>
        <sz val="10"/>
        <color theme="1"/>
        <rFont val="Calibri"/>
        <family val="2"/>
        <scheme val="minor"/>
      </rPr>
      <t>):</t>
    </r>
  </si>
  <si>
    <t>Regional Cap + FCF adj:</t>
  </si>
  <si>
    <t>Maximum ABI Rate</t>
  </si>
  <si>
    <t xml:space="preserve">The Area Office or ABI coordinator must be involved with all aspects of site development including specific site requirements and costs. </t>
  </si>
  <si>
    <t>Agency Area Contact Name:</t>
  </si>
  <si>
    <t>Location ID:</t>
  </si>
  <si>
    <t>ABI MFP Res CW</t>
  </si>
  <si>
    <t>DDS will not pay for site improvements subsequent to this Agency Approval Date without written pre-approval from the Area Director. Other restrictions may apply.</t>
  </si>
  <si>
    <t xml:space="preserve"> DDS-POS-Occupancy@mass.gov </t>
  </si>
  <si>
    <t>Send directly to:</t>
  </si>
  <si>
    <t>&lt;-- Fix ORA version when we go to final -Russ</t>
  </si>
  <si>
    <t>moved from L27 &amp; M27  RC 4/23</t>
  </si>
  <si>
    <t>Removed HHS Approval Date</t>
  </si>
  <si>
    <t>&lt;- Replaces Site</t>
  </si>
  <si>
    <t>ReplacementSIte</t>
  </si>
  <si>
    <t>Apt / Unit Number:</t>
  </si>
  <si>
    <t>SASigName</t>
  </si>
  <si>
    <t>AGencySigName</t>
  </si>
  <si>
    <t>Address:</t>
  </si>
  <si>
    <t>Notes from Application:</t>
  </si>
  <si>
    <t>DDS occupancy rates are stated as pre-offset amounts.</t>
  </si>
  <si>
    <t xml:space="preserve">Name:  </t>
  </si>
  <si>
    <t>20-Character Op DocID:</t>
  </si>
  <si>
    <t>Change Log</t>
  </si>
  <si>
    <t>&lt;- Medical Intensity</t>
  </si>
  <si>
    <t>&lt;- Behaviorally Intensive</t>
  </si>
  <si>
    <t>IntensityABI</t>
  </si>
  <si>
    <t>IntensityMed</t>
  </si>
  <si>
    <t>IntensityBehavioral</t>
  </si>
  <si>
    <t>Changed version and color</t>
  </si>
  <si>
    <t>Added warning keyed to move-in date</t>
  </si>
  <si>
    <t>Need to update cities and rates.  Fix logic for new caps - RC 8/26/24  Columns F-J should remain hidden.</t>
  </si>
  <si>
    <t>Area Office</t>
  </si>
  <si>
    <t>CentralWest</t>
  </si>
  <si>
    <t>Cape Cod/Islands</t>
  </si>
  <si>
    <t>Metro</t>
  </si>
  <si>
    <t>Attleboro</t>
  </si>
  <si>
    <t>Charles River West</t>
  </si>
  <si>
    <t>Boylston</t>
  </si>
  <si>
    <t>Mount Washington</t>
  </si>
  <si>
    <t>Maximum Allowable Rate Index</t>
  </si>
  <si>
    <t>Maximum Allowable Monthly Rate</t>
  </si>
  <si>
    <t>Unit</t>
  </si>
  <si>
    <t>Occupancy Rate Index</t>
  </si>
  <si>
    <t>Site Unit Cost Range</t>
  </si>
  <si>
    <t>Per Diem Site Rate</t>
  </si>
  <si>
    <t>$0.01 - $3.84</t>
  </si>
  <si>
    <t>$3.85 - $8.30</t>
  </si>
  <si>
    <t>$8.31 - $12.76</t>
  </si>
  <si>
    <t>$12.77 - $17.22</t>
  </si>
  <si>
    <t>$17.23 - $21.68</t>
  </si>
  <si>
    <t>$21.69 - $26.15</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</si>
  <si>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</si>
  <si>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</si>
  <si>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</si>
  <si>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</si>
  <si>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</si>
  <si>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</si>
  <si>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</si>
  <si>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</si>
  <si>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</si>
  <si>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</si>
  <si>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</si>
  <si>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</si>
  <si>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</si>
  <si>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</si>
  <si>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</si>
  <si>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</si>
  <si>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</si>
  <si>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</si>
  <si>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</si>
  <si>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</si>
  <si>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</si>
  <si>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</si>
  <si>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</si>
  <si>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</si>
  <si>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</si>
  <si>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</si>
  <si>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</si>
  <si>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FY25 Ch. 257 Per Diem Rate</t>
  </si>
  <si>
    <r>
      <rPr>
        <b/>
        <u/>
        <sz val="11"/>
        <color rgb="FF0070C0"/>
        <rFont val="Calibri"/>
        <family val="2"/>
        <scheme val="minor"/>
      </rPr>
      <t>Information Only</t>
    </r>
    <r>
      <rPr>
        <b/>
        <sz val="11"/>
        <color rgb="FF0070C0"/>
        <rFont val="Calibri"/>
        <family val="2"/>
        <scheme val="minor"/>
      </rPr>
      <t xml:space="preserve"> FY25 Rounded Monthly Rate                </t>
    </r>
    <r>
      <rPr>
        <b/>
        <sz val="8"/>
        <color rgb="FF0070C0"/>
        <rFont val="Calibri"/>
        <family val="2"/>
        <scheme val="minor"/>
      </rPr>
      <t>(day rate * 365 / 12)</t>
    </r>
  </si>
  <si>
    <t>From reg to be Deleted  Used to construct  cols A and B</t>
  </si>
  <si>
    <t>new reg t delete</t>
  </si>
  <si>
    <t>We may need to add max + 2</t>
  </si>
  <si>
    <t>ABI/Med/Beh Cap + FCF adj:</t>
  </si>
  <si>
    <t>ABI/Med?Beh Rate Cap applied:</t>
  </si>
  <si>
    <t>ABI/Med/Beh Rate Cap applied:</t>
  </si>
  <si>
    <t>Future added intensities for new rate aps  ABI is automatic.  Added to data page</t>
  </si>
  <si>
    <t>Addedmid  L/R &amp; terminal M tests</t>
  </si>
  <si>
    <t>Total Capacity of Site:</t>
  </si>
  <si>
    <t>Changed Unit to Site</t>
  </si>
  <si>
    <t>re-worded</t>
  </si>
  <si>
    <t>Cntract Intensity</t>
  </si>
  <si>
    <t>Residential Housing Expense Analyst</t>
  </si>
  <si>
    <t>Final</t>
  </si>
  <si>
    <t>Rate ApprovType</t>
  </si>
  <si>
    <t>ProvRateApprovExp</t>
  </si>
  <si>
    <t>Instructions: Occupancy Rate Application for New and Replacement Sites FY 2025</t>
  </si>
  <si>
    <r>
      <rPr>
        <b/>
        <sz val="18"/>
        <color theme="4"/>
        <rFont val="Calibri"/>
        <family val="2"/>
        <scheme val="minor"/>
      </rPr>
      <t>FY25</t>
    </r>
    <r>
      <rPr>
        <b/>
        <sz val="18"/>
        <color rgb="FF0070C0"/>
        <rFont val="Calibri"/>
        <family val="2"/>
        <scheme val="minor"/>
      </rPr>
      <t xml:space="preserve"> ORA</t>
    </r>
  </si>
  <si>
    <r>
      <t>All applications and supporting documents must be emailed directly to DDS-POS-Occupancy@mass.gov</t>
    </r>
    <r>
      <rPr>
        <b/>
        <sz val="14"/>
        <color theme="1"/>
        <rFont val="Calibri"/>
        <family val="2"/>
        <scheme val="minor"/>
      </rPr>
      <t xml:space="preserve"> </t>
    </r>
    <r>
      <rPr>
        <b/>
        <sz val="12"/>
        <color theme="1"/>
        <rFont val="Calibri"/>
        <family val="2"/>
        <scheme val="minor"/>
      </rPr>
      <t>at the DDS Central Office Contracts. Copy the Regional and Area contract offices or ABI coordinator with this initial submission.</t>
    </r>
  </si>
  <si>
    <r>
      <rPr>
        <b/>
        <sz val="12"/>
        <color theme="1"/>
        <rFont val="Calibri"/>
        <family val="2"/>
        <scheme val="minor"/>
      </rPr>
      <t xml:space="preserve">Appeals: </t>
    </r>
    <r>
      <rPr>
        <sz val="12"/>
        <color theme="1"/>
        <rFont val="Calibri"/>
        <family val="2"/>
        <scheme val="minor"/>
      </rPr>
      <t xml:space="preserve"> Appeals, </t>
    </r>
    <r>
      <rPr>
        <i/>
        <sz val="12"/>
        <color theme="1"/>
        <rFont val="Calibri"/>
        <family val="2"/>
        <scheme val="minor"/>
      </rPr>
      <t>supported by documentation</t>
    </r>
    <r>
      <rPr>
        <sz val="12"/>
        <color theme="1"/>
        <rFont val="Calibri"/>
        <family val="2"/>
        <scheme val="minor"/>
      </rPr>
      <t xml:space="preserve">, may be filed with the appropriate Commonwealth Agency </t>
    </r>
    <r>
      <rPr>
        <b/>
        <sz val="12"/>
        <color theme="1"/>
        <rFont val="Calibri"/>
        <family val="2"/>
        <scheme val="minor"/>
      </rPr>
      <t>within 30 calendar days</t>
    </r>
    <r>
      <rPr>
        <sz val="12"/>
        <color theme="1"/>
        <rFont val="Calibri"/>
        <family val="2"/>
        <scheme val="minor"/>
      </rPr>
      <t xml:space="preserve"> of rate assignment.  Appeals must be in writing.</t>
    </r>
  </si>
  <si>
    <r>
      <t xml:space="preserve">List the full name of the Commonwealth Area or ABI representative, their title, and DDS Area Office or State Agency name from the drop down menu. List the full legal name of the Provider Organization. List the full 20-character </t>
    </r>
    <r>
      <rPr>
        <b/>
        <sz val="12"/>
        <color theme="1"/>
        <rFont val="Calibri"/>
        <family val="2"/>
        <scheme val="minor"/>
      </rPr>
      <t xml:space="preserve">occupancy </t>
    </r>
    <r>
      <rPr>
        <sz val="12"/>
        <color theme="1"/>
        <rFont val="Calibri"/>
        <family val="2"/>
        <scheme val="minor"/>
      </rPr>
      <t xml:space="preserve">document ID. Check the box for the lead Commonwealth Agency that will finance a majority of the site's individuals from the corresponding Operational Contract Type options.  </t>
    </r>
  </si>
  <si>
    <r>
      <rPr>
        <sz val="12"/>
        <color theme="1"/>
        <rFont val="Calibri"/>
        <family val="2"/>
        <scheme val="minor"/>
      </rPr>
      <t>List the full address (street number and name, unit number if applicable, city/town, and zip code).  If the site is in Massachusetts, you must enter one of the 351 official cities and towns in the Commonwealth, listed in the City and Region tab. The worksheet calculates the maximum rate allowed for the region and defined in the regulation. Select the appropriate Site Building Type from the drop down menu.</t>
    </r>
    <r>
      <rPr>
        <sz val="12"/>
        <rFont val="Calibri"/>
        <family val="2"/>
        <scheme val="minor"/>
      </rPr>
      <t xml:space="preserve"> Not</t>
    </r>
    <r>
      <rPr>
        <sz val="12"/>
        <color theme="1"/>
        <rFont val="Calibri"/>
        <family val="2"/>
        <scheme val="minor"/>
      </rPr>
      <t>e that a "unit" is the type of housing (such as an apartment, or a single-family home)</t>
    </r>
    <r>
      <rPr>
        <sz val="12"/>
        <rFont val="Calibri"/>
        <family val="2"/>
        <scheme val="minor"/>
      </rPr>
      <t xml:space="preserve"> not a bedroom. For example, the "</t>
    </r>
    <r>
      <rPr>
        <b/>
        <sz val="12"/>
        <color theme="1"/>
        <rFont val="Calibri"/>
        <family val="2"/>
        <scheme val="minor"/>
      </rPr>
      <t>1</t>
    </r>
    <r>
      <rPr>
        <b/>
        <sz val="12"/>
        <rFont val="Calibri"/>
        <family val="2"/>
        <scheme val="minor"/>
      </rPr>
      <t xml:space="preserve"> </t>
    </r>
    <r>
      <rPr>
        <sz val="12"/>
        <rFont val="Calibri"/>
        <family val="2"/>
        <scheme val="minor"/>
      </rPr>
      <t xml:space="preserve">unit building" </t>
    </r>
    <r>
      <rPr>
        <sz val="12"/>
        <color theme="1"/>
        <rFont val="Calibri"/>
        <family val="2"/>
        <scheme val="minor"/>
      </rPr>
      <t xml:space="preserve">choice </t>
    </r>
    <r>
      <rPr>
        <sz val="12"/>
        <rFont val="Calibri"/>
        <family val="2"/>
        <scheme val="minor"/>
      </rPr>
      <t xml:space="preserve">would be selected for a single-family </t>
    </r>
    <r>
      <rPr>
        <sz val="12"/>
        <color theme="1"/>
        <rFont val="Calibri"/>
        <family val="2"/>
        <scheme val="minor"/>
      </rPr>
      <t>home regardless of the number of bedrooms.</t>
    </r>
  </si>
  <si>
    <t xml:space="preserve">Total Capacity of Site is the number of individuals, not staff, who can live at the site.  A written explanation will be needed when the number of bedrooms at a site exceeds the site's Total Capacity. Capacity Puchased Under this Contract is the number of individuals to be funded under the 20-Character Occupancy DocID noted in Section 1. Capacity Purchased Under this Contract may be less than or equal to the Total Capacity of Site, but cannot exceed Total Capacity of Site. </t>
  </si>
  <si>
    <t>Check ONLY ONE box to identify how the site was acquired by the provider - Purchase, Lease, or Capital Lease. Depending on which acquisition type is selected, red highlights will point to other cells requiring data. If the transaction is a Lease, indicate whether the lessor is a Related Party in accordance with 808 CMR 1.00 and FASB 57 (see CMR Reference tab). Enter the owner of record and their mailing address for this property. If the transaction is a purchase, indicate whether the site is an Existing Structure or New Construction. Select either "Pending" or "Completed" for "Ready for move in?".</t>
  </si>
  <si>
    <t>808 CMR 1.00. sets forth rules for depreciation of Capital Assets on new ORA sites. A copy of the depreciation schedule is located in the “OSD Service Life of Assets” tab.  Capital Assets, including but not limited to furniture, equipment, etc, should be obtained through a Capital/Start-Up Contract and should not be part of the occupancy application or occupancy rate. Likewise, any vehicle related expenses are part of the operational rate. They are not part of the occupancy application, occupancy rate, or start-up budget. Only assets purchased by the service provider with its own funding may be depreciated on this application. Capital purchases made through a Commonwealth-Funded budget may not be depreciated on this application and are not part of the occupancy rate.                                                                                                                                                                                                                                                     i. For purchases of existing houses, input the Assessed Land Value as listed on the city Assessor's Online Database into the box above the Depreciation  chart.                                                                                                                                                                                                                                                                                                                                                  ii. Lines B - H:  List renovations or Life Safety improvements. Consult the OSD Service Life of Assets tab to determine the correct Useful Service Life for each entry. For leased sites, only life safety improvements required in writing by an agency of the Commonwealth may be depreciated.</t>
  </si>
  <si>
    <t xml:space="preserve">Enter estimated costs for the five categories of expenses. The estimates should be based on the entire site at Total Capacity. Pop-up boxes explaining occupancy cost caps will appear when the corresponding expense cell is clicked.  Pop-up boxes may be moved to the side by clicking and dragging.  Estimated amounts entered in excess of these caps will automatically be reduced.  </t>
  </si>
  <si>
    <t>The individual who prepared the application should type her/his name, title, and date. Doing so attests that this application package represents best estimates of site-specific costs, supported by available documentation.</t>
  </si>
  <si>
    <r>
      <t xml:space="preserve">Enter the anticipated annualized offsets (such as Section 8, SSI, or any third party funding) for individuals included in the ALTR Funded Capacity in line 3.  </t>
    </r>
    <r>
      <rPr>
        <b/>
        <sz val="12"/>
        <color theme="1"/>
        <rFont val="Calibri"/>
        <family val="2"/>
        <scheme val="minor"/>
      </rPr>
      <t>Please enter the anticipated costs for 12 months</t>
    </r>
    <r>
      <rPr>
        <sz val="12"/>
        <color theme="1"/>
        <rFont val="Calibri"/>
        <family val="2"/>
        <scheme val="minor"/>
      </rPr>
      <t>.  Do not adjust for the fraction of  the fiscal year remaining after move-in. "The projected move in/start date" is the date when the first DDS individual relocated to the site.</t>
    </r>
  </si>
  <si>
    <t>Enter requested data into cells highlighted by red arrows. Documentation to support and verify claimed expenses must be submitted along with the ORA. Documents should be in Word, Excel, or PDF format.  Scanned documents must be fully legible. If final documentation is not available, include statement(s) from the lending institution, landlord, and/or contractor, explaining and documenting any pending items. Answer whether this site will be replacing an existing site in this or another contract. Check FCF/CEDAC box if application for funding has been, or intends to be, submitted.</t>
  </si>
  <si>
    <r>
      <t>ORA version</t>
    </r>
    <r>
      <rPr>
        <b/>
        <sz val="12"/>
        <color theme="0"/>
        <rFont val="Calibri"/>
        <family val="2"/>
        <scheme val="minor"/>
      </rPr>
      <t xml:space="preserve"> FY25_v10_02.03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</si>
</sst>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0"/>
    <numFmt numFmtId="167" formatCode="0.0000"/>
    <numFmt numFmtId="168" formatCode="mm/dd/yy;@"/>
    <numFmt numFmtId="169" formatCode="0.000%"/>
    <numFmt numFmtId="170" formatCode="0.00_);[Red]\(0.00\)"/>
    <numFmt numFmtId="171" formatCode="[$-409]d\-mmm\-yy;@"/>
  </numFmts>
  <fonts count="98" x14ac:knownFonts="1">
    <font>
      <sz val="11"/>
      <color theme="1"/>
      <name val="Calibri"/>
      <family val="2"/>
      <scheme val="minor"/>
    </font>
    <font>
      <sz val="10"/>
      <name val="Arial"/>
      <family val="2"/>
    </font>
    <font>
      <b/>
      <sz val="10"/>
      <name val="Calibri"/>
      <family val="2"/>
    </font>
    <font>
      <u/>
      <sz val="9"/>
      <color indexed="8"/>
      <name val="Calibri"/>
      <family val="2"/>
    </font>
    <font>
      <sz val="9"/>
      <color indexed="8"/>
      <name val="Calibri"/>
      <family val="2"/>
    </font>
    <font>
      <b/>
      <sz val="11"/>
      <color theme="1"/>
      <name val="Calibri"/>
      <family val="2"/>
      <scheme val="minor"/>
    </font>
    <font>
      <b/>
      <sz val="10"/>
      <color rgb="FF000000"/>
      <name val="Calibri"/>
      <family val="2"/>
    </font>
    <font>
      <b/>
      <sz val="10"/>
      <color theme="1"/>
      <name val="Calibri"/>
      <family val="2"/>
      <scheme val="minor"/>
    </font>
    <font>
      <sz val="10"/>
      <color theme="1"/>
      <name val="Calibri"/>
      <family val="2"/>
      <scheme val="minor"/>
    </font>
    <font>
      <i/>
      <sz val="10"/>
      <color theme="1"/>
      <name val="Calibri"/>
      <family val="2"/>
      <scheme val="minor"/>
    </font>
    <font>
      <b/>
      <u/>
      <sz val="10"/>
      <color rgb="FF2D0DB3"/>
      <name val="Calibri"/>
      <family val="2"/>
      <scheme val="minor"/>
    </font>
    <font>
      <b/>
      <i/>
      <sz val="10"/>
      <color theme="1"/>
      <name val="Calibri"/>
      <family val="2"/>
      <scheme val="minor"/>
    </font>
    <font>
      <b/>
      <sz val="10"/>
      <name val="Calibri"/>
      <family val="2"/>
      <scheme val="minor"/>
    </font>
    <font>
      <sz val="9"/>
      <color theme="1"/>
      <name val="Calibri"/>
      <family val="2"/>
      <scheme val="minor"/>
    </font>
    <font>
      <sz val="10"/>
      <name val="Calibri"/>
      <family val="2"/>
      <scheme val="minor"/>
    </font>
    <font>
      <b/>
      <sz val="9"/>
      <color theme="1"/>
      <name val="Calibri"/>
      <family val="2"/>
      <scheme val="minor"/>
    </font>
    <font>
      <b/>
      <sz val="12"/>
      <color theme="1"/>
      <name val="Calibri"/>
      <family val="2"/>
      <scheme val="minor"/>
    </font>
    <font>
      <sz val="8"/>
      <color rgb="FF000000"/>
      <name val="Tahoma"/>
      <family val="2"/>
    </font>
    <font>
      <b/>
      <sz val="10"/>
      <color rgb="FFFF0000"/>
      <name val="Calibri"/>
      <family val="2"/>
      <scheme val="minor"/>
    </font>
    <font>
      <b/>
      <sz val="10"/>
      <color rgb="FFFF0000"/>
      <name val="Calibri"/>
      <family val="2"/>
    </font>
    <font>
      <b/>
      <sz val="14"/>
      <color rgb="FFFF0000"/>
      <name val="Calibri"/>
      <family val="2"/>
      <scheme val="minor"/>
    </font>
    <font>
      <b/>
      <sz val="14"/>
      <color theme="1"/>
      <name val="Calibri"/>
      <family val="2"/>
      <scheme val="minor"/>
    </font>
    <font>
      <b/>
      <sz val="14"/>
      <color rgb="FFFF0000"/>
      <name val="Calibri"/>
      <family val="2"/>
    </font>
    <font>
      <b/>
      <sz val="12"/>
      <color rgb="FFFF0000"/>
      <name val="Calibri"/>
      <family val="2"/>
    </font>
    <font>
      <b/>
      <sz val="11"/>
      <color rgb="FFFF0000"/>
      <name val="Calibri"/>
      <family val="2"/>
    </font>
    <font>
      <b/>
      <i/>
      <u/>
      <sz val="10"/>
      <color rgb="FF000000"/>
      <name val="Calibri"/>
      <family val="2"/>
    </font>
    <font>
      <sz val="11"/>
      <color theme="1"/>
      <name val="Calibri"/>
      <family val="2"/>
      <scheme val="minor"/>
    </font>
    <font>
      <sz val="10"/>
      <color theme="0"/>
      <name val="Calibri"/>
      <family val="2"/>
      <scheme val="minor"/>
    </font>
    <font>
      <sz val="10"/>
      <color theme="1"/>
      <name val="Courier New"/>
      <family val="3"/>
    </font>
    <font>
      <b/>
      <sz val="12"/>
      <name val="Calibri"/>
      <family val="2"/>
      <scheme val="minor"/>
    </font>
    <font>
      <b/>
      <sz val="12"/>
      <color theme="0"/>
      <name val="Calibri"/>
      <family val="2"/>
      <scheme val="minor"/>
    </font>
    <font>
      <sz val="14"/>
      <name val="Calibri"/>
      <family val="2"/>
      <scheme val="minor"/>
    </font>
    <font>
      <b/>
      <sz val="16"/>
      <color rgb="FFFF0000"/>
      <name val="Calibri"/>
      <family val="2"/>
      <scheme val="minor"/>
    </font>
    <font>
      <sz val="11"/>
      <color rgb="FF000000"/>
      <name val="Calibri"/>
      <family val="2"/>
    </font>
    <font>
      <b/>
      <sz val="10"/>
      <color theme="0"/>
      <name val="Calibri"/>
      <family val="2"/>
      <scheme val="minor"/>
    </font>
    <font>
      <b/>
      <sz val="14"/>
      <name val="Calibri"/>
      <family val="2"/>
      <scheme val="minor"/>
    </font>
    <font>
      <sz val="10"/>
      <color rgb="FFFF0000"/>
      <name val="Calibri"/>
      <family val="2"/>
      <scheme val="minor"/>
    </font>
    <font>
      <b/>
      <u/>
      <sz val="12"/>
      <color theme="1"/>
      <name val="Calibri"/>
      <family val="2"/>
      <scheme val="minor"/>
    </font>
    <font>
      <sz val="12"/>
      <color theme="1"/>
      <name val="Calibri"/>
      <family val="2"/>
      <scheme val="minor"/>
    </font>
    <font>
      <b/>
      <sz val="12"/>
      <color rgb="FFFF0000"/>
      <name val="Calibri"/>
      <family val="2"/>
      <scheme val="minor"/>
    </font>
    <font>
      <u/>
      <sz val="12"/>
      <color theme="1"/>
      <name val="Calibri"/>
      <family val="2"/>
      <scheme val="minor"/>
    </font>
    <font>
      <sz val="12"/>
      <name val="Calibri"/>
      <family val="2"/>
      <scheme val="minor"/>
    </font>
    <font>
      <sz val="8"/>
      <name val="Calibri"/>
      <family val="2"/>
      <scheme val="minor"/>
    </font>
    <font>
      <b/>
      <sz val="8"/>
      <name val="Calibri"/>
      <family val="2"/>
      <scheme val="minor"/>
    </font>
    <font>
      <b/>
      <sz val="11"/>
      <color rgb="FF0070C0"/>
      <name val="Calibri"/>
      <family val="2"/>
      <scheme val="minor"/>
    </font>
    <font>
      <strike/>
      <sz val="10"/>
      <color theme="1"/>
      <name val="Calibri"/>
      <family val="2"/>
      <scheme val="minor"/>
    </font>
    <font>
      <b/>
      <sz val="9"/>
      <color rgb="FF000000"/>
      <name val="Calibri"/>
      <family val="2"/>
    </font>
    <font>
      <sz val="11"/>
      <color rgb="FFFF0000"/>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name val="Calibri"/>
      <family val="2"/>
      <scheme val="minor"/>
    </font>
    <font>
      <b/>
      <sz val="8"/>
      <color theme="7" tint="-0.249977111117893"/>
      <name val="Calibri"/>
      <family val="2"/>
      <scheme val="minor"/>
    </font>
    <font>
      <b/>
      <sz val="11"/>
      <color rgb="FF00B0F0"/>
      <name val="Calibri"/>
      <family val="2"/>
      <scheme val="minor"/>
    </font>
    <font>
      <b/>
      <sz val="9"/>
      <color rgb="FFFF0000"/>
      <name val="Calibri"/>
      <family val="2"/>
      <scheme val="minor"/>
    </font>
    <font>
      <b/>
      <sz val="8"/>
      <color rgb="FFFF0000"/>
      <name val="Calibri"/>
      <family val="2"/>
      <scheme val="minor"/>
    </font>
    <font>
      <sz val="10"/>
      <color rgb="FF000000"/>
      <name val="Calibri"/>
      <family val="2"/>
    </font>
    <font>
      <sz val="11"/>
      <color rgb="FF000000"/>
      <name val="Calibri"/>
      <family val="2"/>
      <scheme val="minor"/>
    </font>
    <font>
      <sz val="11"/>
      <color theme="0" tint="-0.499984740745262"/>
      <name val="Calibri"/>
      <family val="2"/>
      <scheme val="minor"/>
    </font>
    <font>
      <sz val="10"/>
      <color theme="0" tint="-0.499984740745262"/>
      <name val="Calibri"/>
      <family val="2"/>
      <scheme val="minor"/>
    </font>
    <font>
      <b/>
      <sz val="11"/>
      <color theme="0" tint="-0.14999847407452621"/>
      <name val="Calibri"/>
      <family val="2"/>
      <scheme val="minor"/>
    </font>
    <font>
      <sz val="9"/>
      <color rgb="FFFF0000"/>
      <name val="Calibri"/>
      <family val="2"/>
    </font>
    <font>
      <b/>
      <sz val="8"/>
      <color theme="3"/>
      <name val="Calibri"/>
      <family val="2"/>
      <scheme val="minor"/>
    </font>
    <font>
      <b/>
      <sz val="9"/>
      <color rgb="FF0070C0"/>
      <name val="Calibri"/>
      <family val="2"/>
      <scheme val="minor"/>
    </font>
    <font>
      <sz val="8"/>
      <color theme="1"/>
      <name val="Calibri"/>
      <family val="2"/>
      <scheme val="minor"/>
    </font>
    <font>
      <sz val="12"/>
      <color rgb="FFFF0000"/>
      <name val="Calibri"/>
      <family val="2"/>
      <scheme val="minor"/>
    </font>
    <font>
      <b/>
      <sz val="8"/>
      <color rgb="FF0070C0"/>
      <name val="Calibri"/>
      <family val="2"/>
      <scheme val="minor"/>
    </font>
    <font>
      <b/>
      <u/>
      <sz val="11"/>
      <color rgb="FF0070C0"/>
      <name val="Calibri"/>
      <family val="2"/>
      <scheme val="minor"/>
    </font>
    <font>
      <b/>
      <sz val="10"/>
      <color rgb="FFFF0000"/>
      <name val="Wingdings"/>
      <charset val="2"/>
    </font>
    <font>
      <b/>
      <sz val="20"/>
      <color rgb="FFFF0000"/>
      <name val="Calibri"/>
      <family val="2"/>
      <scheme val="minor"/>
    </font>
    <font>
      <i/>
      <sz val="10"/>
      <color rgb="FF0070C0"/>
      <name val="Calibri"/>
      <family val="2"/>
      <scheme val="minor"/>
    </font>
    <font>
      <sz val="8"/>
      <color rgb="FF000000"/>
      <name val="Segoe UI"/>
      <family val="2"/>
    </font>
    <font>
      <b/>
      <sz val="10"/>
      <color theme="0" tint="-0.499984740745262"/>
      <name val="Calibri"/>
      <family val="2"/>
      <scheme val="minor"/>
    </font>
    <font>
      <b/>
      <sz val="12"/>
      <color rgb="FF0070C0"/>
      <name val="Calibri"/>
      <family val="2"/>
      <scheme val="minor"/>
    </font>
    <font>
      <u/>
      <sz val="10"/>
      <color theme="1"/>
      <name val="Calibri"/>
      <family val="2"/>
      <scheme val="minor"/>
    </font>
    <font>
      <b/>
      <sz val="8"/>
      <color theme="1"/>
      <name val="Calibri"/>
      <family val="2"/>
      <scheme val="minor"/>
    </font>
    <font>
      <b/>
      <sz val="11"/>
      <color rgb="FFFF0000"/>
      <name val="Calibri"/>
      <family val="2"/>
      <scheme val="minor"/>
    </font>
    <font>
      <b/>
      <sz val="18"/>
      <color rgb="FF0070C0"/>
      <name val="Calibri"/>
      <family val="2"/>
      <scheme val="minor"/>
    </font>
    <font>
      <b/>
      <sz val="11"/>
      <name val="Calibri"/>
      <family val="2"/>
      <scheme val="minor"/>
    </font>
    <font>
      <b/>
      <sz val="14"/>
      <color rgb="FFFF7DFF"/>
      <name val="Calibri"/>
      <family val="2"/>
    </font>
    <font>
      <sz val="36"/>
      <color theme="1"/>
      <name val="Calibri"/>
      <family val="2"/>
      <scheme val="minor"/>
    </font>
    <font>
      <sz val="10"/>
      <color indexed="8"/>
      <name val="Arial"/>
      <family val="2"/>
    </font>
    <font>
      <sz val="11"/>
      <color indexed="8"/>
      <name val="Calibri"/>
      <family val="2"/>
    </font>
    <font>
      <strike/>
      <sz val="12"/>
      <color rgb="FFFF0000"/>
      <name val="Calibri"/>
      <family val="2"/>
      <scheme val="minor"/>
    </font>
    <font>
      <b/>
      <sz val="18"/>
      <color theme="4"/>
      <name val="Calibri"/>
      <family val="2"/>
      <scheme val="minor"/>
    </font>
    <font>
      <i/>
      <sz val="12"/>
      <color theme="1"/>
      <name val="Calibri"/>
      <family val="2"/>
      <scheme val="minor"/>
    </font>
  </fonts>
  <fills count="5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63377788628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theme="4" tint="0.79998168889431442"/>
      </patternFill>
    </fill>
    <fill>
      <patternFill patternType="solid">
        <fgColor rgb="FFFFFFCC"/>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79998168889431442"/>
        <bgColor indexed="0"/>
      </patternFill>
    </fill>
  </fills>
  <borders count="115">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medium">
        <color auto="1"/>
      </bottom>
      <diagonal/>
    </border>
    <border>
      <left style="medium">
        <color auto="1"/>
      </left>
      <right style="thin">
        <color indexed="64"/>
      </right>
      <top/>
      <bottom style="medium">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medium">
        <color auto="1"/>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9" fillId="0" borderId="0" applyNumberFormat="0" applyFill="0" applyBorder="0" applyAlignment="0" applyProtection="0"/>
    <xf numFmtId="0" fontId="50" fillId="0" borderId="51" applyNumberFormat="0" applyFill="0" applyAlignment="0" applyProtection="0"/>
    <xf numFmtId="0" fontId="51" fillId="0" borderId="52" applyNumberFormat="0" applyFill="0" applyAlignment="0" applyProtection="0"/>
    <xf numFmtId="0" fontId="52" fillId="0" borderId="53" applyNumberFormat="0" applyFill="0" applyAlignment="0" applyProtection="0"/>
    <xf numFmtId="0" fontId="52" fillId="0" borderId="0" applyNumberFormat="0" applyFill="0" applyBorder="0" applyAlignment="0" applyProtection="0"/>
    <xf numFmtId="0" fontId="53" fillId="8" borderId="0" applyNumberFormat="0" applyBorder="0" applyAlignment="0" applyProtection="0"/>
    <xf numFmtId="0" fontId="54" fillId="9" borderId="0" applyNumberFormat="0" applyBorder="0" applyAlignment="0" applyProtection="0"/>
    <xf numFmtId="0" fontId="55" fillId="10" borderId="0" applyNumberFormat="0" applyBorder="0" applyAlignment="0" applyProtection="0"/>
    <xf numFmtId="0" fontId="56" fillId="11" borderId="54" applyNumberFormat="0" applyAlignment="0" applyProtection="0"/>
    <xf numFmtId="0" fontId="57" fillId="12" borderId="55" applyNumberFormat="0" applyAlignment="0" applyProtection="0"/>
    <xf numFmtId="0" fontId="58" fillId="12" borderId="54" applyNumberFormat="0" applyAlignment="0" applyProtection="0"/>
    <xf numFmtId="0" fontId="59" fillId="0" borderId="56" applyNumberFormat="0" applyFill="0" applyAlignment="0" applyProtection="0"/>
    <xf numFmtId="0" fontId="60" fillId="13" borderId="57" applyNumberFormat="0" applyAlignment="0" applyProtection="0"/>
    <xf numFmtId="0" fontId="47" fillId="0" borderId="0" applyNumberFormat="0" applyFill="0" applyBorder="0" applyAlignment="0" applyProtection="0"/>
    <xf numFmtId="0" fontId="26" fillId="14" borderId="58" applyNumberFormat="0" applyFont="0" applyAlignment="0" applyProtection="0"/>
    <xf numFmtId="0" fontId="61" fillId="0" borderId="0" applyNumberFormat="0" applyFill="0" applyBorder="0" applyAlignment="0" applyProtection="0"/>
    <xf numFmtId="0" fontId="5" fillId="0" borderId="59" applyNumberFormat="0" applyFill="0" applyAlignment="0" applyProtection="0"/>
    <xf numFmtId="0" fontId="62"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62" fillId="22" borderId="0" applyNumberFormat="0" applyBorder="0" applyAlignment="0" applyProtection="0"/>
    <xf numFmtId="0" fontId="62"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62" fillId="26" borderId="0" applyNumberFormat="0" applyBorder="0" applyAlignment="0" applyProtection="0"/>
    <xf numFmtId="0" fontId="62"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62" fillId="30" borderId="0" applyNumberFormat="0" applyBorder="0" applyAlignment="0" applyProtection="0"/>
    <xf numFmtId="0" fontId="62"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62" fillId="38" borderId="0" applyNumberFormat="0" applyBorder="0" applyAlignment="0" applyProtection="0"/>
    <xf numFmtId="0" fontId="93" fillId="0" borderId="0"/>
  </cellStyleXfs>
  <cellXfs count="725">
    <xf numFmtId="0" fontId="0" fillId="0" borderId="0" xfId="0"/>
    <xf numFmtId="0" fontId="6" fillId="0" borderId="0" xfId="0" applyFont="1" applyAlignment="1" applyProtection="1">
      <alignment vertical="center"/>
      <protection hidden="1"/>
    </xf>
    <xf numFmtId="0" fontId="6" fillId="0" borderId="0" xfId="0" applyFont="1" applyProtection="1">
      <protection hidden="1"/>
    </xf>
    <xf numFmtId="0" fontId="7" fillId="0" borderId="0" xfId="0" applyFont="1" applyAlignment="1" applyProtection="1">
      <alignment horizontal="center"/>
      <protection hidden="1"/>
    </xf>
    <xf numFmtId="0" fontId="7" fillId="0" borderId="0" xfId="0" applyFont="1" applyProtection="1">
      <protection hidden="1"/>
    </xf>
    <xf numFmtId="0" fontId="7" fillId="0" borderId="0" xfId="0" applyFont="1" applyAlignment="1" applyProtection="1">
      <alignment horizontal="center" vertical="center"/>
      <protection hidden="1"/>
    </xf>
    <xf numFmtId="49" fontId="7" fillId="0" borderId="2" xfId="0" applyNumberFormat="1" applyFont="1" applyBorder="1" applyAlignment="1" applyProtection="1">
      <alignment horizontal="right" vertical="center"/>
      <protection hidden="1"/>
    </xf>
    <xf numFmtId="0" fontId="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wrapText="1"/>
      <protection hidden="1"/>
    </xf>
    <xf numFmtId="49" fontId="7" fillId="0" borderId="1" xfId="0" applyNumberFormat="1" applyFont="1" applyBorder="1" applyAlignment="1" applyProtection="1">
      <alignment horizontal="left"/>
      <protection hidden="1"/>
    </xf>
    <xf numFmtId="49" fontId="7" fillId="0" borderId="1" xfId="0" applyNumberFormat="1" applyFont="1" applyBorder="1" applyAlignment="1" applyProtection="1">
      <alignment horizontal="right"/>
      <protection hidden="1"/>
    </xf>
    <xf numFmtId="0" fontId="7" fillId="0" borderId="1" xfId="0" applyFont="1" applyBorder="1" applyProtection="1">
      <protection hidden="1"/>
    </xf>
    <xf numFmtId="49" fontId="7" fillId="0" borderId="0" xfId="0" applyNumberFormat="1" applyFont="1" applyAlignment="1" applyProtection="1">
      <alignment horizontal="right"/>
      <protection hidden="1"/>
    </xf>
    <xf numFmtId="0" fontId="7" fillId="0" borderId="0" xfId="0" applyFont="1" applyAlignment="1" applyProtection="1">
      <alignment horizontal="right"/>
      <protection hidden="1"/>
    </xf>
    <xf numFmtId="0" fontId="8" fillId="0" borderId="0" xfId="0" applyFont="1" applyAlignment="1" applyProtection="1">
      <alignment horizontal="left" vertical="center" wrapText="1"/>
      <protection hidden="1"/>
    </xf>
    <xf numFmtId="0" fontId="7" fillId="0" borderId="0" xfId="0" applyFont="1" applyAlignment="1" applyProtection="1">
      <alignment vertical="center"/>
      <protection hidden="1"/>
    </xf>
    <xf numFmtId="0" fontId="8" fillId="0" borderId="0" xfId="0" applyFont="1" applyAlignment="1" applyProtection="1">
      <alignment horizontal="right"/>
      <protection hidden="1"/>
    </xf>
    <xf numFmtId="0" fontId="13" fillId="0" borderId="0" xfId="0" applyFont="1" applyAlignment="1">
      <alignment wrapText="1"/>
    </xf>
    <xf numFmtId="0" fontId="13" fillId="0" borderId="0" xfId="0" applyFont="1"/>
    <xf numFmtId="3" fontId="7" fillId="3" borderId="13" xfId="0" applyNumberFormat="1" applyFont="1" applyFill="1" applyBorder="1" applyProtection="1">
      <protection hidden="1"/>
    </xf>
    <xf numFmtId="0" fontId="12" fillId="0" borderId="0" xfId="0" applyFont="1" applyProtection="1">
      <protection hidden="1"/>
    </xf>
    <xf numFmtId="0" fontId="14" fillId="0" borderId="0" xfId="0" applyFont="1" applyProtection="1">
      <protection hidden="1"/>
    </xf>
    <xf numFmtId="0" fontId="15" fillId="0" borderId="13" xfId="0" applyFont="1" applyBorder="1"/>
    <xf numFmtId="0" fontId="13" fillId="0" borderId="0" xfId="0" applyFont="1" applyAlignment="1">
      <alignment horizontal="center"/>
    </xf>
    <xf numFmtId="0" fontId="13" fillId="0" borderId="17" xfId="0" applyFont="1" applyBorder="1"/>
    <xf numFmtId="0" fontId="13" fillId="0" borderId="8" xfId="0" applyFont="1" applyBorder="1"/>
    <xf numFmtId="10" fontId="13" fillId="0" borderId="18" xfId="0" applyNumberFormat="1" applyFont="1" applyBorder="1"/>
    <xf numFmtId="0" fontId="13" fillId="0" borderId="11" xfId="0" applyFont="1" applyBorder="1"/>
    <xf numFmtId="0" fontId="13" fillId="0" borderId="19" xfId="0" applyFont="1" applyBorder="1"/>
    <xf numFmtId="0" fontId="13" fillId="0" borderId="12" xfId="0" applyFont="1" applyBorder="1"/>
    <xf numFmtId="0" fontId="13" fillId="0" borderId="7" xfId="0" applyFont="1" applyBorder="1"/>
    <xf numFmtId="0" fontId="13" fillId="0" borderId="10" xfId="0" applyFont="1" applyBorder="1"/>
    <xf numFmtId="0" fontId="13" fillId="0" borderId="20" xfId="0" applyFont="1" applyBorder="1"/>
    <xf numFmtId="0" fontId="13" fillId="0" borderId="9" xfId="0" applyFont="1" applyBorder="1"/>
    <xf numFmtId="10" fontId="13" fillId="0" borderId="21" xfId="0" applyNumberFormat="1" applyFont="1" applyBorder="1"/>
    <xf numFmtId="0" fontId="7" fillId="0" borderId="0" xfId="0" applyFont="1" applyAlignment="1">
      <alignment horizontal="left" vertical="center"/>
    </xf>
    <xf numFmtId="0" fontId="16" fillId="0" borderId="0" xfId="0" applyFont="1" applyAlignment="1">
      <alignment horizontal="left" vertical="center"/>
    </xf>
    <xf numFmtId="0" fontId="13" fillId="0" borderId="0" xfId="0" applyFont="1" applyAlignment="1">
      <alignment horizontal="justify" vertical="center"/>
    </xf>
    <xf numFmtId="3" fontId="7" fillId="3" borderId="10" xfId="0" applyNumberFormat="1" applyFont="1" applyFill="1" applyBorder="1" applyProtection="1">
      <protection hidden="1"/>
    </xf>
    <xf numFmtId="3" fontId="7" fillId="3" borderId="30" xfId="0" applyNumberFormat="1" applyFont="1" applyFill="1" applyBorder="1" applyProtection="1">
      <protection hidden="1"/>
    </xf>
    <xf numFmtId="3" fontId="7" fillId="3" borderId="14" xfId="0" applyNumberFormat="1" applyFont="1" applyFill="1" applyBorder="1" applyProtection="1">
      <protection hidden="1"/>
    </xf>
    <xf numFmtId="49" fontId="7" fillId="0" borderId="7" xfId="0" applyNumberFormat="1" applyFont="1" applyBorder="1" applyAlignment="1" applyProtection="1">
      <alignment horizontal="right"/>
      <protection hidden="1"/>
    </xf>
    <xf numFmtId="10" fontId="7" fillId="0" borderId="0" xfId="0" applyNumberFormat="1" applyFont="1" applyProtection="1">
      <protection hidden="1"/>
    </xf>
    <xf numFmtId="49" fontId="7" fillId="0" borderId="9" xfId="0" applyNumberFormat="1" applyFont="1" applyBorder="1" applyAlignment="1" applyProtection="1">
      <alignment horizontal="right"/>
      <protection hidden="1"/>
    </xf>
    <xf numFmtId="0" fontId="7" fillId="0" borderId="10" xfId="0" applyFont="1" applyBorder="1" applyAlignment="1" applyProtection="1">
      <alignment horizontal="right"/>
      <protection hidden="1"/>
    </xf>
    <xf numFmtId="0" fontId="7" fillId="0" borderId="0" xfId="0" applyFont="1" applyAlignment="1" applyProtection="1">
      <alignment vertical="center" wrapText="1"/>
      <protection hidden="1"/>
    </xf>
    <xf numFmtId="0" fontId="12" fillId="0" borderId="12" xfId="3" applyFont="1" applyBorder="1" applyAlignment="1" applyProtection="1">
      <alignment horizontal="left"/>
      <protection hidden="1"/>
    </xf>
    <xf numFmtId="165" fontId="7" fillId="3" borderId="14" xfId="0" applyNumberFormat="1" applyFont="1" applyFill="1" applyBorder="1" applyProtection="1">
      <protection hidden="1"/>
    </xf>
    <xf numFmtId="0" fontId="6" fillId="2" borderId="0" xfId="0" applyFont="1" applyFill="1" applyAlignment="1" applyProtection="1">
      <alignmen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Protection="1">
      <protection hidden="1"/>
    </xf>
    <xf numFmtId="0" fontId="14" fillId="0" borderId="0" xfId="0" applyFont="1" applyAlignment="1" applyProtection="1">
      <alignment horizontal="center"/>
      <protection hidden="1"/>
    </xf>
    <xf numFmtId="0" fontId="19" fillId="0" borderId="0" xfId="0" applyFont="1" applyProtection="1">
      <protection hidden="1"/>
    </xf>
    <xf numFmtId="0" fontId="8" fillId="0" borderId="0" xfId="0" applyFont="1" applyAlignment="1" applyProtection="1">
      <alignment horizontal="left"/>
      <protection hidden="1"/>
    </xf>
    <xf numFmtId="0" fontId="8" fillId="0" borderId="11" xfId="0" applyFont="1" applyBorder="1" applyProtection="1">
      <protection hidden="1"/>
    </xf>
    <xf numFmtId="0" fontId="20" fillId="0" borderId="0" xfId="0" applyFont="1" applyProtection="1">
      <protection hidden="1"/>
    </xf>
    <xf numFmtId="49" fontId="21" fillId="0" borderId="12" xfId="0" applyNumberFormat="1" applyFont="1" applyBorder="1" applyAlignment="1" applyProtection="1">
      <alignment horizontal="center" vertical="center"/>
      <protection hidden="1"/>
    </xf>
    <xf numFmtId="3" fontId="7" fillId="3" borderId="13" xfId="0" applyNumberFormat="1" applyFont="1" applyFill="1" applyBorder="1" applyAlignment="1" applyProtection="1">
      <alignment horizontal="right"/>
      <protection hidden="1"/>
    </xf>
    <xf numFmtId="0" fontId="20" fillId="0" borderId="0" xfId="0" applyFont="1" applyAlignment="1" applyProtection="1">
      <alignment horizontal="left"/>
      <protection hidden="1"/>
    </xf>
    <xf numFmtId="0" fontId="20" fillId="0" borderId="19" xfId="0" applyFont="1" applyBorder="1" applyAlignment="1" applyProtection="1">
      <alignment horizontal="left"/>
      <protection hidden="1"/>
    </xf>
    <xf numFmtId="0" fontId="22" fillId="0" borderId="0" xfId="0" applyFont="1" applyProtection="1">
      <protection hidden="1"/>
    </xf>
    <xf numFmtId="0" fontId="20" fillId="0" borderId="19" xfId="0" applyFont="1" applyBorder="1" applyAlignment="1" applyProtection="1">
      <alignment horizontal="right"/>
      <protection hidden="1"/>
    </xf>
    <xf numFmtId="0" fontId="8" fillId="0" borderId="0" xfId="0" applyFont="1" applyAlignment="1" applyProtection="1">
      <alignment vertical="top"/>
      <protection hidden="1"/>
    </xf>
    <xf numFmtId="0" fontId="7" fillId="0" borderId="0" xfId="0" applyFont="1" applyAlignment="1" applyProtection="1">
      <alignment horizontal="center" vertical="top"/>
      <protection hidden="1"/>
    </xf>
    <xf numFmtId="0" fontId="14" fillId="0" borderId="0" xfId="0" applyFont="1" applyAlignment="1" applyProtection="1">
      <alignment vertical="top"/>
      <protection hidden="1"/>
    </xf>
    <xf numFmtId="0" fontId="6" fillId="0" borderId="0" xfId="0" applyFont="1" applyAlignment="1" applyProtection="1">
      <alignment vertical="top"/>
      <protection hidden="1"/>
    </xf>
    <xf numFmtId="3" fontId="7" fillId="3" borderId="13" xfId="0" applyNumberFormat="1" applyFont="1" applyFill="1" applyBorder="1" applyAlignment="1" applyProtection="1">
      <alignment vertical="top"/>
      <protection hidden="1"/>
    </xf>
    <xf numFmtId="0" fontId="8" fillId="0" borderId="0" xfId="0" applyFont="1" applyAlignment="1" applyProtection="1">
      <alignment vertical="center"/>
      <protection hidden="1"/>
    </xf>
    <xf numFmtId="0" fontId="7" fillId="0" borderId="0" xfId="0" applyFont="1" applyAlignment="1" applyProtection="1">
      <alignment vertical="top"/>
      <protection hidden="1"/>
    </xf>
    <xf numFmtId="0" fontId="11" fillId="0" borderId="0" xfId="0" applyFont="1" applyAlignment="1" applyProtection="1">
      <alignment vertical="top"/>
      <protection hidden="1"/>
    </xf>
    <xf numFmtId="49" fontId="8" fillId="0" borderId="0" xfId="0" applyNumberFormat="1" applyFont="1" applyProtection="1">
      <protection hidden="1"/>
    </xf>
    <xf numFmtId="0" fontId="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0" fontId="7" fillId="0" borderId="0" xfId="0" applyFont="1" applyAlignment="1" applyProtection="1">
      <alignment horizontal="right" vertical="top" wrapText="1"/>
      <protection hidden="1"/>
    </xf>
    <xf numFmtId="0" fontId="20" fillId="0" borderId="0" xfId="0" applyFont="1" applyAlignment="1" applyProtection="1">
      <alignment horizontal="right" vertical="center"/>
      <protection hidden="1"/>
    </xf>
    <xf numFmtId="3" fontId="7" fillId="0" borderId="0" xfId="0" applyNumberFormat="1" applyFont="1" applyProtection="1">
      <protection hidden="1"/>
    </xf>
    <xf numFmtId="0" fontId="6" fillId="0" borderId="35" xfId="0" applyFont="1" applyBorder="1" applyAlignment="1" applyProtection="1">
      <alignment horizontal="right" vertical="center"/>
      <protection hidden="1"/>
    </xf>
    <xf numFmtId="0" fontId="12" fillId="0" borderId="35" xfId="0" applyFont="1" applyBorder="1" applyAlignment="1" applyProtection="1">
      <alignment horizontal="right" vertical="center"/>
      <protection hidden="1"/>
    </xf>
    <xf numFmtId="3" fontId="12" fillId="3" borderId="38" xfId="0" applyNumberFormat="1" applyFont="1" applyFill="1" applyBorder="1" applyAlignment="1" applyProtection="1">
      <alignment vertical="center"/>
      <protection hidden="1"/>
    </xf>
    <xf numFmtId="0" fontId="7" fillId="0" borderId="39" xfId="0" applyFont="1" applyBorder="1" applyAlignment="1" applyProtection="1">
      <alignment horizontal="right" vertical="center"/>
      <protection hidden="1"/>
    </xf>
    <xf numFmtId="0" fontId="7" fillId="0" borderId="8" xfId="0" applyFont="1" applyBorder="1" applyProtection="1">
      <protection hidden="1"/>
    </xf>
    <xf numFmtId="0" fontId="7" fillId="0" borderId="17" xfId="0" applyFont="1" applyBorder="1" applyProtection="1">
      <protection hidden="1"/>
    </xf>
    <xf numFmtId="0" fontId="8" fillId="0" borderId="18" xfId="0" applyFont="1" applyBorder="1" applyProtection="1">
      <protection hidden="1"/>
    </xf>
    <xf numFmtId="0" fontId="20" fillId="0" borderId="21" xfId="3" applyFont="1" applyBorder="1" applyAlignment="1" applyProtection="1">
      <alignment horizontal="right"/>
      <protection hidden="1"/>
    </xf>
    <xf numFmtId="0" fontId="22" fillId="0" borderId="0" xfId="0" applyFont="1" applyAlignment="1" applyProtection="1">
      <alignment horizontal="center"/>
      <protection hidden="1"/>
    </xf>
    <xf numFmtId="0" fontId="7" fillId="0" borderId="35" xfId="0" applyFont="1" applyBorder="1" applyAlignment="1" applyProtection="1">
      <alignment horizontal="right" vertical="center"/>
      <protection hidden="1"/>
    </xf>
    <xf numFmtId="0" fontId="6" fillId="0" borderId="0" xfId="0" applyFont="1" applyAlignment="1" applyProtection="1">
      <alignment horizontal="center"/>
      <protection hidden="1"/>
    </xf>
    <xf numFmtId="0" fontId="6" fillId="0" borderId="0" xfId="0" applyFont="1" applyAlignment="1" applyProtection="1">
      <alignment horizontal="center" vertical="center"/>
      <protection hidden="1"/>
    </xf>
    <xf numFmtId="49" fontId="28" fillId="0" borderId="5" xfId="0" applyNumberFormat="1" applyFont="1" applyBorder="1" applyAlignment="1" applyProtection="1">
      <alignment horizontal="right"/>
      <protection hidden="1"/>
    </xf>
    <xf numFmtId="0" fontId="7" fillId="2" borderId="0" xfId="0" applyFont="1" applyFill="1" applyAlignment="1" applyProtection="1">
      <alignment vertical="center"/>
      <protection hidden="1"/>
    </xf>
    <xf numFmtId="0" fontId="24" fillId="2" borderId="0" xfId="0" applyFont="1" applyFill="1" applyProtection="1">
      <protection hidden="1"/>
    </xf>
    <xf numFmtId="0" fontId="7" fillId="2" borderId="0" xfId="0" applyFont="1" applyFill="1" applyAlignment="1" applyProtection="1">
      <alignment horizontal="right" vertical="center"/>
      <protection hidden="1"/>
    </xf>
    <xf numFmtId="0" fontId="9" fillId="2" borderId="0" xfId="0" applyFont="1" applyFill="1" applyAlignment="1" applyProtection="1">
      <alignment horizontal="right" vertical="center"/>
      <protection hidden="1"/>
    </xf>
    <xf numFmtId="0" fontId="10" fillId="2" borderId="0" xfId="0" applyFont="1" applyFill="1" applyAlignment="1" applyProtection="1">
      <alignment horizontal="left" vertical="center"/>
      <protection hidden="1"/>
    </xf>
    <xf numFmtId="0" fontId="7" fillId="2" borderId="0" xfId="0" applyFont="1" applyFill="1" applyAlignment="1" applyProtection="1">
      <alignment horizontal="right"/>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horizontal="right" vertical="center"/>
      <protection hidden="1"/>
    </xf>
    <xf numFmtId="0" fontId="18" fillId="0" borderId="0" xfId="0" applyFont="1" applyAlignment="1" applyProtection="1">
      <alignment horizontal="center"/>
      <protection hidden="1"/>
    </xf>
    <xf numFmtId="0" fontId="16" fillId="0" borderId="0" xfId="0" applyFont="1" applyAlignment="1">
      <alignment vertical="center"/>
    </xf>
    <xf numFmtId="0" fontId="8" fillId="0" borderId="0" xfId="0" applyFont="1" applyAlignment="1" applyProtection="1">
      <alignment horizontal="center" vertical="center"/>
      <protection hidden="1"/>
    </xf>
    <xf numFmtId="0" fontId="6" fillId="0" borderId="31" xfId="0" applyFont="1" applyBorder="1" applyAlignment="1" applyProtection="1">
      <alignment horizontal="right" vertical="center"/>
      <protection hidden="1"/>
    </xf>
    <xf numFmtId="0" fontId="6" fillId="0" borderId="32" xfId="0" applyFont="1" applyBorder="1" applyAlignment="1" applyProtection="1">
      <alignment horizontal="right" vertical="center"/>
      <protection hidden="1"/>
    </xf>
    <xf numFmtId="3" fontId="12" fillId="2" borderId="0" xfId="0" applyNumberFormat="1" applyFont="1" applyFill="1" applyAlignment="1" applyProtection="1">
      <alignment vertical="center"/>
      <protection hidden="1"/>
    </xf>
    <xf numFmtId="3" fontId="12" fillId="3" borderId="46" xfId="0" applyNumberFormat="1" applyFont="1" applyFill="1" applyBorder="1" applyAlignment="1" applyProtection="1">
      <alignment vertical="center"/>
      <protection hidden="1"/>
    </xf>
    <xf numFmtId="0" fontId="20" fillId="2" borderId="11" xfId="0" applyFont="1" applyFill="1" applyBorder="1" applyAlignment="1" applyProtection="1">
      <alignment horizontal="left"/>
      <protection hidden="1"/>
    </xf>
    <xf numFmtId="0" fontId="22" fillId="0" borderId="0" xfId="0" applyFont="1" applyAlignment="1" applyProtection="1">
      <alignment horizontal="right"/>
      <protection hidden="1"/>
    </xf>
    <xf numFmtId="0" fontId="18" fillId="0" borderId="0" xfId="0" applyFont="1" applyAlignment="1" applyProtection="1">
      <alignment vertical="center"/>
      <protection hidden="1"/>
    </xf>
    <xf numFmtId="0" fontId="14" fillId="2" borderId="0" xfId="0" applyFont="1" applyFill="1" applyAlignment="1" applyProtection="1">
      <alignment vertical="center"/>
      <protection hidden="1"/>
    </xf>
    <xf numFmtId="0" fontId="20" fillId="0" borderId="0" xfId="0" applyFont="1" applyAlignment="1" applyProtection="1">
      <alignment vertical="center"/>
      <protection hidden="1"/>
    </xf>
    <xf numFmtId="0" fontId="31" fillId="0" borderId="0" xfId="0" applyFont="1" applyProtection="1">
      <protection hidden="1"/>
    </xf>
    <xf numFmtId="0" fontId="32" fillId="0" borderId="0" xfId="0" applyFont="1" applyProtection="1">
      <protection hidden="1"/>
    </xf>
    <xf numFmtId="0" fontId="34" fillId="0" borderId="0" xfId="0" applyFont="1" applyAlignment="1" applyProtection="1">
      <alignment vertical="top"/>
      <protection hidden="1"/>
    </xf>
    <xf numFmtId="0" fontId="27" fillId="0" borderId="0" xfId="0" applyFont="1" applyProtection="1">
      <protection hidden="1"/>
    </xf>
    <xf numFmtId="0" fontId="14" fillId="0" borderId="0" xfId="0" applyFont="1" applyAlignment="1" applyProtection="1">
      <alignment vertical="center"/>
      <protection hidden="1"/>
    </xf>
    <xf numFmtId="0" fontId="7" fillId="0" borderId="19" xfId="0" applyFont="1" applyBorder="1" applyAlignment="1" applyProtection="1">
      <alignment horizontal="right" vertical="center"/>
      <protection hidden="1"/>
    </xf>
    <xf numFmtId="164" fontId="30" fillId="2" borderId="0" xfId="0" applyNumberFormat="1" applyFont="1" applyFill="1" applyProtection="1">
      <protection hidden="1"/>
    </xf>
    <xf numFmtId="3" fontId="7" fillId="4" borderId="13" xfId="0" applyNumberFormat="1" applyFont="1" applyFill="1" applyBorder="1" applyProtection="1">
      <protection locked="0" hidden="1"/>
    </xf>
    <xf numFmtId="3" fontId="7" fillId="4" borderId="14" xfId="0" applyNumberFormat="1" applyFont="1" applyFill="1" applyBorder="1" applyProtection="1">
      <protection locked="0" hidden="1"/>
    </xf>
    <xf numFmtId="165" fontId="7" fillId="4" borderId="13" xfId="0" applyNumberFormat="1" applyFont="1" applyFill="1" applyBorder="1" applyProtection="1">
      <protection locked="0" hidden="1"/>
    </xf>
    <xf numFmtId="165" fontId="7" fillId="4" borderId="15" xfId="0" applyNumberFormat="1" applyFont="1" applyFill="1" applyBorder="1" applyProtection="1">
      <protection locked="0" hidden="1"/>
    </xf>
    <xf numFmtId="165" fontId="7" fillId="4" borderId="14" xfId="0" applyNumberFormat="1" applyFont="1" applyFill="1" applyBorder="1" applyProtection="1">
      <protection locked="0" hidden="1"/>
    </xf>
    <xf numFmtId="3" fontId="7" fillId="4" borderId="43" xfId="0" applyNumberFormat="1" applyFont="1" applyFill="1" applyBorder="1" applyAlignment="1" applyProtection="1">
      <alignment vertical="center"/>
      <protection locked="0" hidden="1"/>
    </xf>
    <xf numFmtId="3" fontId="7" fillId="4" borderId="44" xfId="0" applyNumberFormat="1" applyFont="1" applyFill="1" applyBorder="1" applyAlignment="1" applyProtection="1">
      <alignment vertical="center"/>
      <protection locked="0" hidden="1"/>
    </xf>
    <xf numFmtId="3" fontId="7" fillId="4" borderId="36" xfId="0" applyNumberFormat="1" applyFont="1" applyFill="1" applyBorder="1" applyAlignment="1" applyProtection="1">
      <alignment vertical="center"/>
      <protection locked="0" hidden="1"/>
    </xf>
    <xf numFmtId="10" fontId="7" fillId="4" borderId="36" xfId="0" applyNumberFormat="1" applyFont="1" applyFill="1" applyBorder="1" applyAlignment="1" applyProtection="1">
      <alignment vertical="center"/>
      <protection locked="0" hidden="1"/>
    </xf>
    <xf numFmtId="4" fontId="7" fillId="4" borderId="36" xfId="0" applyNumberFormat="1" applyFont="1" applyFill="1" applyBorder="1" applyAlignment="1" applyProtection="1">
      <alignment vertical="center"/>
      <protection locked="0" hidden="1"/>
    </xf>
    <xf numFmtId="3" fontId="12" fillId="4" borderId="36" xfId="0" applyNumberFormat="1" applyFont="1" applyFill="1" applyBorder="1" applyAlignment="1" applyProtection="1">
      <alignment vertical="center"/>
      <protection locked="0" hidden="1"/>
    </xf>
    <xf numFmtId="3" fontId="6" fillId="4" borderId="36" xfId="0" applyNumberFormat="1" applyFont="1" applyFill="1" applyBorder="1" applyAlignment="1" applyProtection="1">
      <alignment horizontal="right" vertical="center"/>
      <protection locked="0" hidden="1"/>
    </xf>
    <xf numFmtId="10" fontId="12" fillId="4" borderId="36" xfId="0" applyNumberFormat="1" applyFont="1" applyFill="1" applyBorder="1" applyAlignment="1" applyProtection="1">
      <alignment vertical="center"/>
      <protection locked="0" hidden="1"/>
    </xf>
    <xf numFmtId="4" fontId="6" fillId="4" borderId="45" xfId="0" applyNumberFormat="1" applyFont="1" applyFill="1" applyBorder="1" applyAlignment="1" applyProtection="1">
      <alignment horizontal="right" vertical="center"/>
      <protection locked="0" hidden="1"/>
    </xf>
    <xf numFmtId="0" fontId="14" fillId="4" borderId="13" xfId="0" applyFont="1" applyFill="1" applyBorder="1" applyProtection="1">
      <protection locked="0" hidden="1"/>
    </xf>
    <xf numFmtId="3" fontId="7" fillId="4" borderId="13" xfId="0" applyNumberFormat="1" applyFont="1" applyFill="1" applyBorder="1" applyAlignment="1" applyProtection="1">
      <alignment horizontal="center" vertical="center"/>
      <protection locked="0" hidden="1"/>
    </xf>
    <xf numFmtId="0" fontId="22" fillId="0" borderId="0" xfId="0" applyFont="1" applyAlignment="1" applyProtection="1">
      <alignment vertical="center"/>
      <protection hidden="1"/>
    </xf>
    <xf numFmtId="0" fontId="22" fillId="0" borderId="0" xfId="0" applyFont="1" applyAlignment="1" applyProtection="1">
      <alignment horizontal="left" vertical="center"/>
      <protection hidden="1"/>
    </xf>
    <xf numFmtId="0" fontId="22" fillId="0" borderId="11" xfId="0" applyFont="1" applyBorder="1" applyAlignment="1" applyProtection="1">
      <alignment horizontal="center" vertical="center"/>
      <protection hidden="1"/>
    </xf>
    <xf numFmtId="164" fontId="16" fillId="5" borderId="22" xfId="0" applyNumberFormat="1" applyFont="1" applyFill="1" applyBorder="1" applyAlignment="1" applyProtection="1">
      <alignment horizontal="right"/>
      <protection hidden="1"/>
    </xf>
    <xf numFmtId="166" fontId="35" fillId="0" borderId="0" xfId="0" applyNumberFormat="1" applyFont="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12" fillId="0" borderId="20" xfId="3" applyFont="1" applyBorder="1" applyAlignment="1" applyProtection="1">
      <alignment horizontal="left"/>
      <protection hidden="1"/>
    </xf>
    <xf numFmtId="0" fontId="11" fillId="0" borderId="7" xfId="0" applyFont="1" applyBorder="1" applyProtection="1">
      <protection hidden="1"/>
    </xf>
    <xf numFmtId="49" fontId="21" fillId="0" borderId="20" xfId="0" applyNumberFormat="1" applyFont="1" applyBorder="1" applyAlignment="1" applyProtection="1">
      <alignment horizontal="center" vertical="center"/>
      <protection hidden="1"/>
    </xf>
    <xf numFmtId="0" fontId="12" fillId="0" borderId="20" xfId="3" applyFont="1" applyBorder="1" applyProtection="1">
      <protection hidden="1"/>
    </xf>
    <xf numFmtId="0" fontId="12" fillId="0" borderId="9" xfId="3" applyFont="1" applyBorder="1" applyProtection="1">
      <protection hidden="1"/>
    </xf>
    <xf numFmtId="0" fontId="8" fillId="0" borderId="8" xfId="0" applyFont="1" applyBorder="1" applyAlignment="1" applyProtection="1">
      <alignment vertical="center"/>
      <protection hidden="1"/>
    </xf>
    <xf numFmtId="3" fontId="12" fillId="6" borderId="13" xfId="0" applyNumberFormat="1" applyFont="1" applyFill="1" applyBorder="1" applyProtection="1">
      <protection hidden="1"/>
    </xf>
    <xf numFmtId="0" fontId="11" fillId="0" borderId="0" xfId="0" applyFont="1" applyAlignment="1" applyProtection="1">
      <alignment horizontal="right" vertical="top"/>
      <protection hidden="1"/>
    </xf>
    <xf numFmtId="3" fontId="12" fillId="3" borderId="21" xfId="0" applyNumberFormat="1" applyFont="1" applyFill="1" applyBorder="1" applyProtection="1">
      <protection hidden="1"/>
    </xf>
    <xf numFmtId="3" fontId="7" fillId="0" borderId="0" xfId="0" applyNumberFormat="1" applyFont="1" applyAlignment="1" applyProtection="1">
      <alignment horizontal="right"/>
      <protection hidden="1"/>
    </xf>
    <xf numFmtId="0" fontId="16" fillId="0" borderId="0" xfId="0" applyFont="1" applyAlignment="1" applyProtection="1">
      <alignment horizontal="right"/>
      <protection hidden="1"/>
    </xf>
    <xf numFmtId="3" fontId="9" fillId="6" borderId="4" xfId="0" applyNumberFormat="1" applyFont="1" applyFill="1" applyBorder="1" applyAlignment="1" applyProtection="1">
      <alignment horizontal="right" vertical="top"/>
      <protection hidden="1"/>
    </xf>
    <xf numFmtId="0" fontId="12" fillId="0" borderId="20" xfId="0" applyFont="1" applyBorder="1" applyAlignment="1" applyProtection="1">
      <alignment horizontal="center"/>
      <protection hidden="1"/>
    </xf>
    <xf numFmtId="3" fontId="12" fillId="3" borderId="10" xfId="0" applyNumberFormat="1" applyFont="1" applyFill="1" applyBorder="1" applyProtection="1">
      <protection hidden="1"/>
    </xf>
    <xf numFmtId="0" fontId="7" fillId="0" borderId="4" xfId="0" applyFont="1" applyBorder="1" applyProtection="1">
      <protection hidden="1"/>
    </xf>
    <xf numFmtId="3" fontId="7" fillId="0" borderId="8" xfId="0" applyNumberFormat="1" applyFont="1" applyBorder="1" applyAlignment="1" applyProtection="1">
      <alignment vertical="center"/>
      <protection hidden="1"/>
    </xf>
    <xf numFmtId="3" fontId="7" fillId="3" borderId="4" xfId="0" applyNumberFormat="1" applyFont="1" applyFill="1" applyBorder="1" applyProtection="1">
      <protection hidden="1"/>
    </xf>
    <xf numFmtId="0" fontId="11" fillId="0" borderId="11" xfId="0" applyFont="1" applyBorder="1" applyAlignment="1" applyProtection="1">
      <alignment horizontal="right" vertical="top"/>
      <protection hidden="1"/>
    </xf>
    <xf numFmtId="3" fontId="12" fillId="7" borderId="34" xfId="0" applyNumberFormat="1" applyFont="1" applyFill="1" applyBorder="1" applyProtection="1">
      <protection hidden="1"/>
    </xf>
    <xf numFmtId="14" fontId="7" fillId="0" borderId="11" xfId="0" applyNumberFormat="1" applyFont="1" applyBorder="1" applyAlignment="1" applyProtection="1">
      <alignment horizontal="left" vertical="center"/>
      <protection hidden="1"/>
    </xf>
    <xf numFmtId="14" fontId="8" fillId="0" borderId="11" xfId="0" applyNumberFormat="1" applyFont="1" applyBorder="1" applyAlignment="1" applyProtection="1">
      <alignment horizontal="left" vertical="center"/>
      <protection hidden="1"/>
    </xf>
    <xf numFmtId="0" fontId="5" fillId="0" borderId="0" xfId="0" applyFont="1" applyAlignment="1">
      <alignment horizontal="left"/>
    </xf>
    <xf numFmtId="0" fontId="36" fillId="0" borderId="0" xfId="0" applyFont="1" applyProtection="1">
      <protection hidden="1"/>
    </xf>
    <xf numFmtId="49" fontId="6" fillId="0" borderId="0" xfId="0" applyNumberFormat="1" applyFont="1" applyAlignment="1" applyProtection="1">
      <alignment horizontal="right"/>
      <protection hidden="1"/>
    </xf>
    <xf numFmtId="0" fontId="29" fillId="0" borderId="16" xfId="0" applyFont="1" applyBorder="1" applyAlignment="1" applyProtection="1">
      <alignment horizontal="right" vertical="center"/>
      <protection hidden="1"/>
    </xf>
    <xf numFmtId="49" fontId="6" fillId="0" borderId="0" xfId="0" applyNumberFormat="1" applyFont="1" applyAlignment="1" applyProtection="1">
      <alignment horizontal="right" indent="1"/>
      <protection hidden="1"/>
    </xf>
    <xf numFmtId="49" fontId="6" fillId="0" borderId="19" xfId="0" applyNumberFormat="1" applyFont="1" applyBorder="1" applyAlignment="1" applyProtection="1">
      <alignment horizontal="right" indent="1"/>
      <protection hidden="1"/>
    </xf>
    <xf numFmtId="49" fontId="25" fillId="0" borderId="0" xfId="0" applyNumberFormat="1" applyFont="1" applyAlignment="1" applyProtection="1">
      <alignment horizontal="right" indent="1"/>
      <protection hidden="1"/>
    </xf>
    <xf numFmtId="0" fontId="12" fillId="0" borderId="0" xfId="0" applyFont="1" applyAlignment="1" applyProtection="1">
      <alignment vertical="top"/>
      <protection hidden="1"/>
    </xf>
    <xf numFmtId="0" fontId="29" fillId="2" borderId="0" xfId="0" applyFont="1" applyFill="1" applyAlignment="1" applyProtection="1">
      <alignment horizontal="right"/>
      <protection hidden="1"/>
    </xf>
    <xf numFmtId="166" fontId="29" fillId="2" borderId="0" xfId="0" applyNumberFormat="1" applyFont="1" applyFill="1" applyAlignment="1" applyProtection="1">
      <alignment horizontal="right"/>
      <protection hidden="1"/>
    </xf>
    <xf numFmtId="0" fontId="29" fillId="2" borderId="0" xfId="0" applyFont="1" applyFill="1" applyAlignment="1" applyProtection="1">
      <alignment horizontal="right" vertical="center"/>
      <protection hidden="1"/>
    </xf>
    <xf numFmtId="164" fontId="29" fillId="2" borderId="0" xfId="0" applyNumberFormat="1" applyFont="1" applyFill="1" applyProtection="1">
      <protection hidden="1"/>
    </xf>
    <xf numFmtId="0" fontId="8" fillId="0" borderId="12" xfId="0" applyFont="1" applyBorder="1" applyProtection="1">
      <protection hidden="1"/>
    </xf>
    <xf numFmtId="0" fontId="8" fillId="0" borderId="7" xfId="0" applyFont="1" applyBorder="1" applyProtection="1">
      <protection hidden="1"/>
    </xf>
    <xf numFmtId="0" fontId="8" fillId="0" borderId="10" xfId="0" applyFont="1" applyBorder="1" applyProtection="1">
      <protection hidden="1"/>
    </xf>
    <xf numFmtId="0" fontId="20" fillId="0" borderId="0" xfId="0" applyFont="1" applyAlignment="1" applyProtection="1">
      <alignment horizontal="right"/>
      <protection hidden="1"/>
    </xf>
    <xf numFmtId="0" fontId="38" fillId="2" borderId="0" xfId="0" applyFont="1" applyFill="1" applyProtection="1">
      <protection hidden="1"/>
    </xf>
    <xf numFmtId="0" fontId="38" fillId="2" borderId="0" xfId="0" applyFont="1" applyFill="1" applyAlignment="1" applyProtection="1">
      <alignment horizontal="left" vertical="top" wrapText="1"/>
      <protection hidden="1"/>
    </xf>
    <xf numFmtId="49" fontId="16" fillId="2" borderId="11" xfId="0" applyNumberFormat="1" applyFont="1" applyFill="1" applyBorder="1" applyAlignment="1" applyProtection="1">
      <alignment horizontal="center" vertical="top" wrapText="1"/>
      <protection hidden="1"/>
    </xf>
    <xf numFmtId="0" fontId="38" fillId="2" borderId="0" xfId="0" applyFont="1" applyFill="1" applyAlignment="1" applyProtection="1">
      <alignment horizontal="left" vertical="center" indent="5"/>
      <protection hidden="1"/>
    </xf>
    <xf numFmtId="0" fontId="38" fillId="2" borderId="0" xfId="0" applyFont="1" applyFill="1" applyAlignment="1" applyProtection="1">
      <alignment vertical="top" wrapText="1"/>
      <protection hidden="1"/>
    </xf>
    <xf numFmtId="0" fontId="38" fillId="2" borderId="0" xfId="0" applyFont="1" applyFill="1" applyAlignment="1" applyProtection="1">
      <alignment vertical="center"/>
      <protection hidden="1"/>
    </xf>
    <xf numFmtId="0" fontId="16" fillId="2" borderId="0" xfId="0" applyFont="1" applyFill="1" applyAlignment="1" applyProtection="1">
      <alignment horizontal="right" vertical="top"/>
      <protection hidden="1"/>
    </xf>
    <xf numFmtId="0" fontId="38" fillId="2" borderId="0" xfId="0" applyFont="1" applyFill="1" applyAlignment="1" applyProtection="1">
      <alignment horizontal="right"/>
      <protection hidden="1"/>
    </xf>
    <xf numFmtId="0" fontId="7" fillId="0" borderId="0" xfId="0" applyFont="1" applyAlignment="1" applyProtection="1">
      <alignment horizontal="left"/>
      <protection hidden="1"/>
    </xf>
    <xf numFmtId="0" fontId="42" fillId="0" borderId="0" xfId="0" applyFont="1" applyProtection="1">
      <protection hidden="1"/>
    </xf>
    <xf numFmtId="0" fontId="42" fillId="0" borderId="0" xfId="0" applyFont="1" applyAlignment="1" applyProtection="1">
      <alignment horizontal="center"/>
      <protection hidden="1"/>
    </xf>
    <xf numFmtId="0" fontId="42" fillId="0" borderId="0" xfId="0" applyFont="1" applyAlignment="1" applyProtection="1">
      <alignment vertical="center"/>
      <protection hidden="1"/>
    </xf>
    <xf numFmtId="0" fontId="42" fillId="2" borderId="0" xfId="0" applyFont="1" applyFill="1" applyAlignment="1" applyProtection="1">
      <alignment vertical="center"/>
      <protection hidden="1"/>
    </xf>
    <xf numFmtId="0" fontId="43" fillId="0" borderId="0" xfId="0" applyFont="1" applyAlignment="1" applyProtection="1">
      <alignment horizontal="right" vertical="center"/>
      <protection hidden="1"/>
    </xf>
    <xf numFmtId="0" fontId="43" fillId="2" borderId="0" xfId="0" applyFont="1" applyFill="1" applyAlignment="1" applyProtection="1">
      <alignment vertical="center"/>
      <protection hidden="1"/>
    </xf>
    <xf numFmtId="0" fontId="42" fillId="0" borderId="0" xfId="0" applyFont="1" applyAlignment="1" applyProtection="1">
      <alignment vertical="top"/>
      <protection hidden="1"/>
    </xf>
    <xf numFmtId="0" fontId="43" fillId="0" borderId="0" xfId="0" applyFont="1" applyAlignment="1" applyProtection="1">
      <alignment vertical="center"/>
      <protection hidden="1"/>
    </xf>
    <xf numFmtId="0" fontId="43" fillId="0" borderId="0" xfId="0" applyFont="1" applyAlignment="1" applyProtection="1">
      <alignment vertical="top"/>
      <protection hidden="1"/>
    </xf>
    <xf numFmtId="0" fontId="45" fillId="0" borderId="0" xfId="0" applyFont="1" applyProtection="1">
      <protection hidden="1"/>
    </xf>
    <xf numFmtId="3" fontId="7" fillId="3" borderId="38" xfId="0" applyNumberFormat="1" applyFont="1" applyFill="1" applyBorder="1" applyProtection="1">
      <protection hidden="1"/>
    </xf>
    <xf numFmtId="3" fontId="12" fillId="4" borderId="43" xfId="0" applyNumberFormat="1" applyFont="1" applyFill="1" applyBorder="1" applyProtection="1">
      <protection locked="0" hidden="1"/>
    </xf>
    <xf numFmtId="0" fontId="39"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39" fillId="0" borderId="16" xfId="0" applyFont="1" applyBorder="1" applyAlignment="1" applyProtection="1">
      <alignment horizontal="right" vertical="center"/>
      <protection hidden="1"/>
    </xf>
    <xf numFmtId="0" fontId="12" fillId="2" borderId="0" xfId="0" applyFont="1" applyFill="1" applyAlignment="1" applyProtection="1">
      <alignment horizontal="right" vertical="center" indent="1"/>
      <protection hidden="1"/>
    </xf>
    <xf numFmtId="0" fontId="20" fillId="2" borderId="0" xfId="0" applyFont="1" applyFill="1" applyAlignment="1" applyProtection="1">
      <alignment horizontal="left" vertical="center"/>
      <protection hidden="1"/>
    </xf>
    <xf numFmtId="0" fontId="36" fillId="0" borderId="0" xfId="0" applyFont="1" applyAlignment="1" applyProtection="1">
      <alignment vertical="center"/>
      <protection hidden="1"/>
    </xf>
    <xf numFmtId="0" fontId="6" fillId="0" borderId="0" xfId="0" applyFont="1" applyAlignment="1" applyProtection="1">
      <alignment horizontal="right" vertical="center" indent="1"/>
      <protection hidden="1"/>
    </xf>
    <xf numFmtId="0" fontId="63" fillId="2" borderId="19" xfId="0" applyFont="1" applyFill="1" applyBorder="1" applyAlignment="1" applyProtection="1">
      <alignment horizontal="right" indent="1"/>
      <protection hidden="1"/>
    </xf>
    <xf numFmtId="0" fontId="7" fillId="0" borderId="0" xfId="0" applyFont="1" applyAlignment="1" applyProtection="1">
      <alignment horizontal="right" indent="1"/>
      <protection hidden="1"/>
    </xf>
    <xf numFmtId="49" fontId="6" fillId="2" borderId="0" xfId="0" applyNumberFormat="1" applyFont="1" applyFill="1" applyAlignment="1" applyProtection="1">
      <alignment horizontal="right" indent="1"/>
      <protection hidden="1"/>
    </xf>
    <xf numFmtId="0" fontId="7" fillId="0" borderId="19" xfId="0" applyFont="1" applyBorder="1" applyAlignment="1" applyProtection="1">
      <alignment horizontal="right" vertical="center" indent="1"/>
      <protection hidden="1"/>
    </xf>
    <xf numFmtId="0" fontId="23" fillId="0" borderId="0" xfId="0" applyFont="1" applyAlignment="1" applyProtection="1">
      <alignment vertical="center"/>
      <protection hidden="1"/>
    </xf>
    <xf numFmtId="0" fontId="0" fillId="0" borderId="0" xfId="0" applyAlignment="1">
      <alignment vertical="top"/>
    </xf>
    <xf numFmtId="164" fontId="16" fillId="5" borderId="60" xfId="0" applyNumberFormat="1" applyFont="1" applyFill="1" applyBorder="1" applyAlignment="1" applyProtection="1">
      <alignment horizontal="right"/>
      <protection hidden="1"/>
    </xf>
    <xf numFmtId="164" fontId="16" fillId="5" borderId="0" xfId="0" applyNumberFormat="1" applyFont="1" applyFill="1" applyAlignment="1" applyProtection="1">
      <alignment horizontal="right"/>
      <protection hidden="1"/>
    </xf>
    <xf numFmtId="164" fontId="16" fillId="5" borderId="60" xfId="0" applyNumberFormat="1" applyFont="1" applyFill="1" applyBorder="1" applyAlignment="1" applyProtection="1">
      <alignment horizontal="right" vertical="center"/>
      <protection hidden="1"/>
    </xf>
    <xf numFmtId="0" fontId="7" fillId="0" borderId="0" xfId="0" applyFont="1" applyAlignment="1" applyProtection="1">
      <alignment horizontal="right" vertical="top" wrapText="1" indent="1"/>
      <protection hidden="1"/>
    </xf>
    <xf numFmtId="0" fontId="7" fillId="0" borderId="0" xfId="0" applyFont="1" applyAlignment="1" applyProtection="1">
      <alignment horizontal="right" vertical="center" indent="1"/>
      <protection hidden="1"/>
    </xf>
    <xf numFmtId="3" fontId="7" fillId="0" borderId="10" xfId="0" applyNumberFormat="1" applyFont="1" applyBorder="1" applyAlignment="1" applyProtection="1">
      <alignment horizontal="right"/>
      <protection hidden="1"/>
    </xf>
    <xf numFmtId="0" fontId="0" fillId="0" borderId="0" xfId="0" applyProtection="1">
      <protection hidden="1"/>
    </xf>
    <xf numFmtId="0" fontId="0" fillId="0" borderId="0" xfId="0" applyAlignment="1" applyProtection="1">
      <alignment horizontal="center" vertical="top"/>
      <protection hidden="1"/>
    </xf>
    <xf numFmtId="0" fontId="16" fillId="2" borderId="12" xfId="0" applyFont="1" applyFill="1" applyBorder="1" applyAlignment="1" applyProtection="1">
      <alignment horizontal="center" vertical="top"/>
      <protection hidden="1"/>
    </xf>
    <xf numFmtId="0" fontId="16" fillId="2" borderId="11" xfId="0" applyFont="1" applyFill="1" applyBorder="1" applyAlignment="1" applyProtection="1">
      <alignment horizontal="center" vertical="top"/>
      <protection hidden="1"/>
    </xf>
    <xf numFmtId="0" fontId="8" fillId="0" borderId="25" xfId="0" applyFont="1" applyBorder="1" applyProtection="1">
      <protection hidden="1"/>
    </xf>
    <xf numFmtId="0" fontId="8" fillId="2" borderId="0" xfId="0" applyFont="1" applyFill="1" applyAlignment="1" applyProtection="1">
      <alignment vertical="center"/>
      <protection locked="0"/>
    </xf>
    <xf numFmtId="0" fontId="0" fillId="0" borderId="35" xfId="0" applyBorder="1" applyAlignment="1" applyProtection="1">
      <alignment vertical="top"/>
      <protection hidden="1"/>
    </xf>
    <xf numFmtId="0" fontId="8" fillId="0" borderId="0" xfId="0" applyFont="1" applyAlignment="1" applyProtection="1">
      <alignment horizontal="center" vertical="top"/>
      <protection hidden="1"/>
    </xf>
    <xf numFmtId="0" fontId="0" fillId="0" borderId="0" xfId="0" applyAlignment="1" applyProtection="1">
      <alignment vertical="top"/>
      <protection hidden="1"/>
    </xf>
    <xf numFmtId="0" fontId="8" fillId="0" borderId="5" xfId="0" applyFont="1" applyBorder="1" applyAlignment="1" applyProtection="1">
      <alignment horizontal="center" vertical="top"/>
      <protection hidden="1"/>
    </xf>
    <xf numFmtId="14" fontId="8" fillId="2" borderId="0" xfId="0" applyNumberFormat="1" applyFont="1" applyFill="1" applyAlignment="1" applyProtection="1">
      <alignment vertical="center"/>
      <protection locked="0"/>
    </xf>
    <xf numFmtId="171" fontId="8" fillId="0" borderId="0" xfId="0" applyNumberFormat="1" applyFont="1" applyProtection="1">
      <protection hidden="1"/>
    </xf>
    <xf numFmtId="168" fontId="7" fillId="4" borderId="43" xfId="0" applyNumberFormat="1" applyFont="1" applyFill="1" applyBorder="1" applyAlignment="1" applyProtection="1">
      <alignment vertical="center"/>
      <protection locked="0" hidden="1"/>
    </xf>
    <xf numFmtId="168" fontId="7" fillId="4" borderId="36" xfId="0" applyNumberFormat="1" applyFont="1" applyFill="1" applyBorder="1" applyAlignment="1" applyProtection="1">
      <alignment vertical="center"/>
      <protection locked="0" hidden="1"/>
    </xf>
    <xf numFmtId="0" fontId="67" fillId="0" borderId="0" xfId="0" applyFont="1" applyAlignment="1" applyProtection="1">
      <alignment horizontal="left" vertical="center" wrapText="1"/>
      <protection hidden="1"/>
    </xf>
    <xf numFmtId="0" fontId="66" fillId="0" borderId="0" xfId="0" applyFont="1" applyAlignment="1" applyProtection="1">
      <alignment horizontal="left" vertical="center"/>
      <protection hidden="1"/>
    </xf>
    <xf numFmtId="14" fontId="7" fillId="4" borderId="13" xfId="0" applyNumberFormat="1" applyFont="1" applyFill="1" applyBorder="1" applyAlignment="1" applyProtection="1">
      <alignment horizontal="center" vertical="center"/>
      <protection locked="0" hidden="1"/>
    </xf>
    <xf numFmtId="0" fontId="68" fillId="0" borderId="0" xfId="0" applyFont="1" applyAlignment="1" applyProtection="1">
      <alignment vertical="center"/>
      <protection hidden="1"/>
    </xf>
    <xf numFmtId="0" fontId="71" fillId="0" borderId="0" xfId="0" applyFont="1" applyProtection="1">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5" fillId="0" borderId="0" xfId="0" applyFont="1" applyProtection="1">
      <protection hidden="1"/>
    </xf>
    <xf numFmtId="49" fontId="5" fillId="0" borderId="0" xfId="0" applyNumberFormat="1" applyFont="1" applyProtection="1">
      <protection hidden="1"/>
    </xf>
    <xf numFmtId="0" fontId="0" fillId="0" borderId="0" xfId="0" applyAlignment="1">
      <alignment horizontal="center"/>
    </xf>
    <xf numFmtId="0" fontId="5" fillId="0" borderId="0" xfId="0" applyFont="1" applyAlignment="1" applyProtection="1">
      <alignment horizontal="left"/>
      <protection hidden="1"/>
    </xf>
    <xf numFmtId="0" fontId="0" fillId="0" borderId="0" xfId="0" applyAlignment="1">
      <alignment vertical="center"/>
    </xf>
    <xf numFmtId="39" fontId="0" fillId="0" borderId="0" xfId="0" applyNumberFormat="1"/>
    <xf numFmtId="8" fontId="0" fillId="0" borderId="0" xfId="0" applyNumberFormat="1"/>
    <xf numFmtId="2" fontId="48" fillId="0" borderId="0" xfId="3" applyNumberFormat="1" applyFont="1" applyProtection="1">
      <protection hidden="1"/>
    </xf>
    <xf numFmtId="0" fontId="38" fillId="0" borderId="0" xfId="0" applyFont="1" applyAlignment="1" applyProtection="1">
      <alignment vertical="center" wrapText="1"/>
      <protection hidden="1"/>
    </xf>
    <xf numFmtId="2" fontId="48" fillId="0" borderId="0" xfId="3" applyNumberFormat="1" applyFont="1" applyAlignment="1" applyProtection="1">
      <alignment horizontal="right"/>
      <protection hidden="1"/>
    </xf>
    <xf numFmtId="0" fontId="70" fillId="0" borderId="0" xfId="0" applyFont="1" applyAlignment="1" applyProtection="1">
      <alignment horizontal="left"/>
      <protection hidden="1"/>
    </xf>
    <xf numFmtId="166" fontId="70" fillId="0" borderId="0" xfId="0" applyNumberFormat="1" applyFont="1" applyAlignment="1" applyProtection="1">
      <alignment horizontal="left"/>
      <protection hidden="1"/>
    </xf>
    <xf numFmtId="3" fontId="7" fillId="0" borderId="9" xfId="0" applyNumberFormat="1" applyFont="1" applyBorder="1" applyProtection="1">
      <protection hidden="1"/>
    </xf>
    <xf numFmtId="0" fontId="12" fillId="0" borderId="9" xfId="3" applyFont="1" applyBorder="1" applyAlignment="1" applyProtection="1">
      <alignment horizontal="left"/>
      <protection hidden="1"/>
    </xf>
    <xf numFmtId="49" fontId="0" fillId="0" borderId="0" xfId="0" applyNumberFormat="1" applyAlignment="1" applyProtection="1">
      <alignment horizontal="right" indent="1"/>
      <protection hidden="1"/>
    </xf>
    <xf numFmtId="49" fontId="8" fillId="0" borderId="0" xfId="0" applyNumberFormat="1" applyFont="1" applyAlignment="1" applyProtection="1">
      <alignment horizontal="right"/>
      <protection hidden="1"/>
    </xf>
    <xf numFmtId="0" fontId="0" fillId="0" borderId="7" xfId="0" applyBorder="1" applyAlignment="1" applyProtection="1">
      <alignment horizontal="right"/>
      <protection hidden="1"/>
    </xf>
    <xf numFmtId="0" fontId="42" fillId="0" borderId="0" xfId="0" applyFont="1" applyProtection="1">
      <protection locked="0" hidden="1"/>
    </xf>
    <xf numFmtId="167" fontId="64" fillId="2" borderId="0" xfId="0" applyNumberFormat="1" applyFont="1" applyFill="1" applyAlignment="1" applyProtection="1">
      <alignment horizontal="right"/>
      <protection locked="0" hidden="1"/>
    </xf>
    <xf numFmtId="0" fontId="42" fillId="0" borderId="0" xfId="0" applyFont="1" applyAlignment="1" applyProtection="1">
      <alignment horizontal="center"/>
      <protection locked="0" hidden="1"/>
    </xf>
    <xf numFmtId="0" fontId="8" fillId="3" borderId="0" xfId="0" applyFont="1" applyFill="1" applyAlignment="1" applyProtection="1">
      <alignment vertical="center"/>
      <protection locked="0" hidden="1"/>
    </xf>
    <xf numFmtId="0" fontId="7" fillId="0" borderId="6" xfId="0" applyFont="1" applyBorder="1" applyAlignment="1" applyProtection="1">
      <alignment horizontal="right" indent="1"/>
      <protection hidden="1"/>
    </xf>
    <xf numFmtId="0" fontId="5" fillId="0" borderId="11" xfId="0" applyFont="1" applyBorder="1" applyAlignment="1" applyProtection="1">
      <alignment horizontal="left" indent="2"/>
      <protection hidden="1"/>
    </xf>
    <xf numFmtId="168" fontId="34" fillId="0" borderId="0" xfId="0" applyNumberFormat="1" applyFont="1" applyAlignment="1" applyProtection="1">
      <alignment horizontal="center" vertical="center"/>
      <protection locked="0"/>
    </xf>
    <xf numFmtId="168" fontId="7" fillId="44" borderId="49" xfId="0" applyNumberFormat="1" applyFont="1" applyFill="1" applyBorder="1" applyAlignment="1" applyProtection="1">
      <alignment horizontal="center" vertical="center"/>
      <protection locked="0"/>
    </xf>
    <xf numFmtId="39" fontId="0" fillId="45" borderId="82" xfId="0" applyNumberFormat="1" applyFill="1" applyBorder="1" applyProtection="1">
      <protection hidden="1"/>
    </xf>
    <xf numFmtId="8" fontId="69" fillId="45" borderId="83" xfId="0" applyNumberFormat="1" applyFont="1" applyFill="1" applyBorder="1" applyAlignment="1" applyProtection="1">
      <alignment horizontal="right" vertical="center"/>
      <protection hidden="1"/>
    </xf>
    <xf numFmtId="39" fontId="0" fillId="45" borderId="84" xfId="0" applyNumberFormat="1" applyFill="1" applyBorder="1" applyProtection="1">
      <protection hidden="1"/>
    </xf>
    <xf numFmtId="39" fontId="0" fillId="45" borderId="76" xfId="0" applyNumberFormat="1" applyFill="1" applyBorder="1" applyProtection="1">
      <protection hidden="1"/>
    </xf>
    <xf numFmtId="8" fontId="69" fillId="45" borderId="77" xfId="0" applyNumberFormat="1" applyFont="1" applyFill="1" applyBorder="1" applyAlignment="1" applyProtection="1">
      <alignment horizontal="right" vertical="center"/>
      <protection hidden="1"/>
    </xf>
    <xf numFmtId="39" fontId="0" fillId="45" borderId="78" xfId="0" applyNumberFormat="1" applyFill="1" applyBorder="1" applyProtection="1">
      <protection hidden="1"/>
    </xf>
    <xf numFmtId="39" fontId="0" fillId="45" borderId="79" xfId="0" applyNumberFormat="1" applyFill="1" applyBorder="1" applyProtection="1">
      <protection hidden="1"/>
    </xf>
    <xf numFmtId="8" fontId="69" fillId="45" borderId="80" xfId="0" applyNumberFormat="1" applyFont="1" applyFill="1" applyBorder="1" applyAlignment="1" applyProtection="1">
      <alignment horizontal="right" vertical="center"/>
      <protection hidden="1"/>
    </xf>
    <xf numFmtId="39" fontId="0" fillId="45" borderId="81" xfId="0" applyNumberFormat="1" applyFill="1" applyBorder="1" applyProtection="1">
      <protection hidden="1"/>
    </xf>
    <xf numFmtId="0" fontId="0" fillId="45" borderId="89" xfId="0" applyFill="1" applyBorder="1" applyAlignment="1" applyProtection="1">
      <alignment horizontal="center"/>
      <protection hidden="1"/>
    </xf>
    <xf numFmtId="0" fontId="0" fillId="45" borderId="87" xfId="0" applyFill="1" applyBorder="1" applyAlignment="1" applyProtection="1">
      <alignment horizontal="center"/>
      <protection hidden="1"/>
    </xf>
    <xf numFmtId="0" fontId="0" fillId="45" borderId="87" xfId="0" applyFill="1" applyBorder="1" applyAlignment="1" applyProtection="1">
      <alignment horizontal="center" vertical="top" wrapText="1"/>
      <protection hidden="1"/>
    </xf>
    <xf numFmtId="0" fontId="0" fillId="45" borderId="88" xfId="0" applyFill="1" applyBorder="1" applyAlignment="1" applyProtection="1">
      <alignment horizontal="center"/>
      <protection hidden="1"/>
    </xf>
    <xf numFmtId="0" fontId="0" fillId="48" borderId="87" xfId="0" applyFill="1" applyBorder="1" applyProtection="1">
      <protection hidden="1"/>
    </xf>
    <xf numFmtId="0" fontId="0" fillId="48" borderId="88" xfId="0" applyFill="1" applyBorder="1" applyProtection="1">
      <protection hidden="1"/>
    </xf>
    <xf numFmtId="0" fontId="44" fillId="47" borderId="90" xfId="0" applyFont="1" applyFill="1" applyBorder="1" applyAlignment="1" applyProtection="1">
      <alignment horizontal="center" wrapText="1"/>
      <protection hidden="1"/>
    </xf>
    <xf numFmtId="0" fontId="0" fillId="48" borderId="89" xfId="0" applyFill="1" applyBorder="1" applyProtection="1">
      <protection hidden="1"/>
    </xf>
    <xf numFmtId="0" fontId="65" fillId="40" borderId="90" xfId="0" applyFont="1" applyFill="1" applyBorder="1" applyAlignment="1" applyProtection="1">
      <alignment horizontal="center" wrapText="1"/>
      <protection hidden="1"/>
    </xf>
    <xf numFmtId="0" fontId="76" fillId="0" borderId="0" xfId="0" applyFont="1" applyAlignment="1">
      <alignment vertical="top" wrapText="1"/>
    </xf>
    <xf numFmtId="0" fontId="76" fillId="0" borderId="0" xfId="0" applyFont="1"/>
    <xf numFmtId="0" fontId="76" fillId="0" borderId="13" xfId="0" applyFont="1" applyBorder="1" applyAlignment="1" applyProtection="1">
      <alignment vertical="top" wrapText="1"/>
      <protection hidden="1"/>
    </xf>
    <xf numFmtId="0" fontId="76" fillId="0" borderId="13" xfId="0" applyFont="1" applyBorder="1" applyAlignment="1">
      <alignment vertical="top" wrapText="1"/>
    </xf>
    <xf numFmtId="0" fontId="76" fillId="0" borderId="13" xfId="0" applyFont="1" applyBorder="1" applyAlignment="1" applyProtection="1">
      <alignment horizontal="left" vertical="center"/>
      <protection hidden="1"/>
    </xf>
    <xf numFmtId="0" fontId="76" fillId="0" borderId="13" xfId="0" applyFont="1" applyBorder="1" applyProtection="1">
      <protection hidden="1"/>
    </xf>
    <xf numFmtId="168" fontId="76" fillId="0" borderId="13" xfId="0" applyNumberFormat="1" applyFont="1" applyBorder="1" applyProtection="1">
      <protection hidden="1"/>
    </xf>
    <xf numFmtId="8" fontId="76" fillId="0" borderId="13" xfId="0" applyNumberFormat="1" applyFont="1" applyBorder="1" applyProtection="1">
      <protection hidden="1"/>
    </xf>
    <xf numFmtId="169" fontId="76" fillId="0" borderId="13" xfId="0" applyNumberFormat="1" applyFont="1" applyBorder="1" applyProtection="1">
      <protection hidden="1"/>
    </xf>
    <xf numFmtId="170" fontId="76" fillId="0" borderId="13" xfId="0" applyNumberFormat="1" applyFont="1" applyBorder="1" applyProtection="1">
      <protection hidden="1"/>
    </xf>
    <xf numFmtId="2" fontId="76" fillId="0" borderId="13" xfId="0" applyNumberFormat="1" applyFont="1" applyBorder="1" applyProtection="1">
      <protection hidden="1"/>
    </xf>
    <xf numFmtId="14" fontId="76" fillId="0" borderId="13" xfId="0" applyNumberFormat="1" applyFont="1" applyBorder="1" applyProtection="1">
      <protection hidden="1"/>
    </xf>
    <xf numFmtId="166" fontId="76" fillId="0" borderId="13" xfId="0" applyNumberFormat="1" applyFont="1" applyBorder="1" applyProtection="1">
      <protection hidden="1"/>
    </xf>
    <xf numFmtId="3" fontId="76" fillId="0" borderId="13" xfId="0" applyNumberFormat="1" applyFont="1" applyBorder="1" applyProtection="1">
      <protection hidden="1"/>
    </xf>
    <xf numFmtId="49" fontId="76" fillId="0" borderId="13" xfId="0" applyNumberFormat="1" applyFont="1" applyBorder="1" applyProtection="1">
      <protection hidden="1"/>
    </xf>
    <xf numFmtId="0" fontId="36" fillId="50" borderId="0" xfId="0" applyFont="1" applyFill="1" applyAlignment="1" applyProtection="1">
      <alignment vertical="top" wrapText="1"/>
      <protection hidden="1"/>
    </xf>
    <xf numFmtId="0" fontId="36" fillId="50" borderId="0" xfId="0" applyFont="1" applyFill="1" applyAlignment="1" applyProtection="1">
      <alignment vertical="top"/>
      <protection hidden="1"/>
    </xf>
    <xf numFmtId="0" fontId="36" fillId="50" borderId="0" xfId="0" applyFont="1" applyFill="1" applyProtection="1">
      <protection hidden="1"/>
    </xf>
    <xf numFmtId="0" fontId="36" fillId="50" borderId="0" xfId="0" applyFont="1" applyFill="1" applyAlignment="1" applyProtection="1">
      <alignment horizontal="center"/>
      <protection hidden="1"/>
    </xf>
    <xf numFmtId="0" fontId="36" fillId="50" borderId="0" xfId="0" applyFont="1" applyFill="1" applyAlignment="1" applyProtection="1">
      <alignment vertical="center"/>
      <protection hidden="1"/>
    </xf>
    <xf numFmtId="0" fontId="18" fillId="50" borderId="0" xfId="0" applyFont="1" applyFill="1" applyAlignment="1" applyProtection="1">
      <alignment vertical="center"/>
      <protection hidden="1"/>
    </xf>
    <xf numFmtId="0" fontId="77" fillId="2" borderId="0" xfId="0" applyFont="1" applyFill="1" applyAlignment="1" applyProtection="1">
      <alignment horizontal="left" vertical="top" wrapText="1"/>
      <protection hidden="1"/>
    </xf>
    <xf numFmtId="0" fontId="42" fillId="0" borderId="0" xfId="0" applyFont="1" applyAlignment="1" applyProtection="1">
      <alignment vertical="top" wrapText="1"/>
      <protection locked="0" hidden="1"/>
    </xf>
    <xf numFmtId="0" fontId="14" fillId="0" borderId="0" xfId="0" applyFont="1" applyAlignment="1" applyProtection="1">
      <alignment vertical="top" wrapText="1"/>
      <protection hidden="1"/>
    </xf>
    <xf numFmtId="0" fontId="8" fillId="0" borderId="0" xfId="0" applyFont="1" applyAlignment="1" applyProtection="1">
      <alignment vertical="top" wrapText="1"/>
      <protection hidden="1"/>
    </xf>
    <xf numFmtId="39" fontId="44" fillId="4" borderId="28" xfId="0" applyNumberFormat="1" applyFont="1" applyFill="1" applyBorder="1" applyAlignment="1" applyProtection="1">
      <alignment horizontal="center" vertical="top" wrapText="1"/>
      <protection hidden="1"/>
    </xf>
    <xf numFmtId="8" fontId="44" fillId="4" borderId="28" xfId="0" applyNumberFormat="1" applyFont="1" applyFill="1" applyBorder="1" applyAlignment="1" applyProtection="1">
      <alignment horizontal="center" vertical="top" wrapText="1"/>
      <protection hidden="1"/>
    </xf>
    <xf numFmtId="8" fontId="0" fillId="0" borderId="0" xfId="0" applyNumberFormat="1" applyProtection="1">
      <protection hidden="1"/>
    </xf>
    <xf numFmtId="8" fontId="0" fillId="4" borderId="67" xfId="0" applyNumberFormat="1" applyFill="1" applyBorder="1"/>
    <xf numFmtId="8" fontId="0" fillId="4" borderId="68" xfId="0" applyNumberFormat="1" applyFill="1" applyBorder="1"/>
    <xf numFmtId="6" fontId="69" fillId="4" borderId="69" xfId="0" applyNumberFormat="1" applyFont="1" applyFill="1" applyBorder="1" applyAlignment="1" applyProtection="1">
      <alignment horizontal="right" vertical="center"/>
      <protection hidden="1"/>
    </xf>
    <xf numFmtId="8" fontId="0" fillId="4" borderId="70" xfId="0" applyNumberFormat="1" applyFill="1" applyBorder="1"/>
    <xf numFmtId="8" fontId="0" fillId="4" borderId="71" xfId="0" applyNumberFormat="1" applyFill="1" applyBorder="1"/>
    <xf numFmtId="6" fontId="69" fillId="4" borderId="72" xfId="0" applyNumberFormat="1" applyFont="1" applyFill="1" applyBorder="1" applyAlignment="1" applyProtection="1">
      <alignment horizontal="right" vertical="center"/>
      <protection hidden="1"/>
    </xf>
    <xf numFmtId="8" fontId="0" fillId="4" borderId="73" xfId="0" applyNumberFormat="1" applyFill="1" applyBorder="1"/>
    <xf numFmtId="8" fontId="0" fillId="4" borderId="74" xfId="0" applyNumberFormat="1" applyFill="1" applyBorder="1"/>
    <xf numFmtId="6" fontId="69" fillId="4" borderId="75" xfId="0" applyNumberFormat="1" applyFont="1" applyFill="1" applyBorder="1" applyAlignment="1" applyProtection="1">
      <alignment horizontal="right" vertical="center"/>
      <protection hidden="1"/>
    </xf>
    <xf numFmtId="0" fontId="8" fillId="5" borderId="0" xfId="0" applyFont="1" applyFill="1" applyAlignment="1" applyProtection="1">
      <alignment vertical="center"/>
      <protection hidden="1"/>
    </xf>
    <xf numFmtId="0" fontId="19" fillId="0" borderId="0" xfId="0" applyFont="1" applyAlignment="1" applyProtection="1">
      <alignment horizontal="right" vertical="center" indent="1"/>
      <protection hidden="1"/>
    </xf>
    <xf numFmtId="0" fontId="36" fillId="0" borderId="0" xfId="0" applyFont="1" applyAlignment="1" applyProtection="1">
      <alignment horizontal="center"/>
      <protection hidden="1"/>
    </xf>
    <xf numFmtId="0" fontId="80" fillId="0" borderId="0" xfId="0" applyFont="1" applyAlignment="1" applyProtection="1">
      <alignment horizontal="center"/>
      <protection hidden="1"/>
    </xf>
    <xf numFmtId="0" fontId="8" fillId="45" borderId="0" xfId="0" applyFont="1" applyFill="1" applyProtection="1">
      <protection hidden="1"/>
    </xf>
    <xf numFmtId="0" fontId="36" fillId="45" borderId="0" xfId="0" applyFont="1" applyFill="1" applyProtection="1">
      <protection hidden="1"/>
    </xf>
    <xf numFmtId="0" fontId="18" fillId="45" borderId="0" xfId="0" applyFont="1" applyFill="1" applyProtection="1">
      <protection hidden="1"/>
    </xf>
    <xf numFmtId="0" fontId="36" fillId="45" borderId="0" xfId="0" applyFont="1" applyFill="1" applyAlignment="1" applyProtection="1">
      <alignment vertical="center"/>
      <protection hidden="1"/>
    </xf>
    <xf numFmtId="0" fontId="18" fillId="45" borderId="0" xfId="0" applyFont="1" applyFill="1" applyAlignment="1" applyProtection="1">
      <alignment horizontal="left" vertical="center"/>
      <protection hidden="1"/>
    </xf>
    <xf numFmtId="0" fontId="73" fillId="0" borderId="0" xfId="0" applyFont="1" applyAlignment="1" applyProtection="1">
      <alignment horizontal="right" vertical="top" wrapText="1" indent="1"/>
      <protection hidden="1"/>
    </xf>
    <xf numFmtId="0" fontId="73" fillId="0" borderId="0" xfId="0" applyFont="1" applyAlignment="1" applyProtection="1">
      <alignment horizontal="right" vertical="center" wrapText="1" indent="1"/>
      <protection hidden="1"/>
    </xf>
    <xf numFmtId="0" fontId="81" fillId="0" borderId="0" xfId="0" applyFont="1" applyAlignment="1" applyProtection="1">
      <alignment vertical="top"/>
      <protection hidden="1"/>
    </xf>
    <xf numFmtId="49" fontId="6" fillId="4" borderId="13" xfId="0" applyNumberFormat="1" applyFont="1" applyFill="1" applyBorder="1" applyAlignment="1" applyProtection="1">
      <alignment vertical="center"/>
      <protection locked="0" hidden="1"/>
    </xf>
    <xf numFmtId="0" fontId="8" fillId="0" borderId="0" xfId="0" applyFont="1" applyAlignment="1">
      <alignment wrapText="1"/>
    </xf>
    <xf numFmtId="49" fontId="6" fillId="4" borderId="13" xfId="0" applyNumberFormat="1" applyFont="1" applyFill="1" applyBorder="1" applyAlignment="1" applyProtection="1">
      <alignment horizontal="center" vertical="center"/>
      <protection locked="0" hidden="1"/>
    </xf>
    <xf numFmtId="0" fontId="5" fillId="0" borderId="0" xfId="0" applyFont="1" applyAlignment="1">
      <alignment horizontal="right" vertical="center" indent="1"/>
    </xf>
    <xf numFmtId="0" fontId="18" fillId="0" borderId="0" xfId="0" applyFont="1" applyAlignment="1" applyProtection="1">
      <alignment horizontal="left" vertical="center"/>
      <protection hidden="1"/>
    </xf>
    <xf numFmtId="0" fontId="42" fillId="48" borderId="0" xfId="0" applyFont="1" applyFill="1" applyProtection="1">
      <protection locked="0" hidden="1"/>
    </xf>
    <xf numFmtId="0" fontId="22" fillId="0" borderId="0" xfId="0" applyFont="1" applyAlignment="1" applyProtection="1">
      <alignment vertical="top"/>
      <protection hidden="1"/>
    </xf>
    <xf numFmtId="0" fontId="76" fillId="0" borderId="0" xfId="0" applyFont="1" applyAlignment="1" applyProtection="1">
      <alignment horizontal="left"/>
      <protection hidden="1"/>
    </xf>
    <xf numFmtId="0" fontId="7" fillId="0" borderId="67" xfId="0" applyFont="1" applyBorder="1" applyAlignment="1" applyProtection="1">
      <alignment horizontal="right"/>
      <protection hidden="1"/>
    </xf>
    <xf numFmtId="0" fontId="7" fillId="0" borderId="68" xfId="0" applyFont="1" applyBorder="1" applyAlignment="1" applyProtection="1">
      <alignment horizontal="right"/>
      <protection hidden="1"/>
    </xf>
    <xf numFmtId="0" fontId="8" fillId="0" borderId="70" xfId="0" applyFont="1" applyBorder="1" applyAlignment="1" applyProtection="1">
      <alignment horizontal="right"/>
      <protection hidden="1"/>
    </xf>
    <xf numFmtId="0" fontId="8" fillId="0" borderId="71" xfId="0" applyFont="1" applyBorder="1" applyAlignment="1" applyProtection="1">
      <alignment horizontal="right"/>
      <protection hidden="1"/>
    </xf>
    <xf numFmtId="166" fontId="8" fillId="0" borderId="71" xfId="0" applyNumberFormat="1" applyFont="1" applyBorder="1" applyAlignment="1" applyProtection="1">
      <alignment horizontal="right"/>
      <protection hidden="1"/>
    </xf>
    <xf numFmtId="0" fontId="8" fillId="3" borderId="70" xfId="0" applyFont="1" applyFill="1" applyBorder="1" applyAlignment="1" applyProtection="1">
      <alignment horizontal="right"/>
      <protection hidden="1"/>
    </xf>
    <xf numFmtId="0" fontId="8" fillId="3" borderId="71" xfId="0" applyFont="1" applyFill="1" applyBorder="1" applyAlignment="1" applyProtection="1">
      <alignment horizontal="right"/>
      <protection hidden="1"/>
    </xf>
    <xf numFmtId="49" fontId="8" fillId="0" borderId="71" xfId="0" applyNumberFormat="1" applyFont="1" applyBorder="1" applyAlignment="1" applyProtection="1">
      <alignment horizontal="right"/>
      <protection hidden="1"/>
    </xf>
    <xf numFmtId="0" fontId="8" fillId="5" borderId="70" xfId="0" applyFont="1" applyFill="1" applyBorder="1" applyAlignment="1" applyProtection="1">
      <alignment horizontal="right"/>
      <protection hidden="1"/>
    </xf>
    <xf numFmtId="0" fontId="8" fillId="5" borderId="71" xfId="0" applyFont="1" applyFill="1" applyBorder="1" applyAlignment="1" applyProtection="1">
      <alignment horizontal="right"/>
      <protection hidden="1"/>
    </xf>
    <xf numFmtId="0" fontId="8" fillId="40" borderId="70" xfId="0" applyFont="1" applyFill="1" applyBorder="1" applyAlignment="1" applyProtection="1">
      <alignment horizontal="right"/>
      <protection hidden="1"/>
    </xf>
    <xf numFmtId="0" fontId="8" fillId="40" borderId="71" xfId="0" applyFont="1" applyFill="1" applyBorder="1" applyAlignment="1" applyProtection="1">
      <alignment horizontal="right"/>
      <protection hidden="1"/>
    </xf>
    <xf numFmtId="0" fontId="8" fillId="39" borderId="70" xfId="0" applyFont="1" applyFill="1" applyBorder="1" applyAlignment="1" applyProtection="1">
      <alignment horizontal="right"/>
      <protection hidden="1"/>
    </xf>
    <xf numFmtId="0" fontId="8" fillId="39" borderId="71" xfId="0" applyFont="1" applyFill="1" applyBorder="1" applyAlignment="1" applyProtection="1">
      <alignment horizontal="right"/>
      <protection hidden="1"/>
    </xf>
    <xf numFmtId="0" fontId="8" fillId="41" borderId="70" xfId="0" applyFont="1" applyFill="1" applyBorder="1" applyAlignment="1" applyProtection="1">
      <alignment horizontal="right"/>
      <protection hidden="1"/>
    </xf>
    <xf numFmtId="0" fontId="8" fillId="41" borderId="71" xfId="0" applyFont="1" applyFill="1" applyBorder="1" applyAlignment="1" applyProtection="1">
      <alignment horizontal="right"/>
      <protection hidden="1"/>
    </xf>
    <xf numFmtId="0" fontId="8" fillId="42" borderId="70" xfId="0" applyFont="1" applyFill="1" applyBorder="1" applyAlignment="1" applyProtection="1">
      <alignment horizontal="right"/>
      <protection hidden="1"/>
    </xf>
    <xf numFmtId="0" fontId="8" fillId="42" borderId="71" xfId="0" applyFont="1" applyFill="1" applyBorder="1" applyAlignment="1" applyProtection="1">
      <alignment horizontal="right"/>
      <protection hidden="1"/>
    </xf>
    <xf numFmtId="0" fontId="8" fillId="42" borderId="73" xfId="0" applyFont="1" applyFill="1" applyBorder="1" applyAlignment="1" applyProtection="1">
      <alignment horizontal="right"/>
      <protection hidden="1"/>
    </xf>
    <xf numFmtId="0" fontId="8" fillId="42" borderId="74" xfId="0" applyFont="1" applyFill="1" applyBorder="1" applyAlignment="1" applyProtection="1">
      <alignment horizontal="right"/>
      <protection hidden="1"/>
    </xf>
    <xf numFmtId="49" fontId="8" fillId="0" borderId="74" xfId="0" applyNumberFormat="1" applyFont="1" applyBorder="1" applyAlignment="1" applyProtection="1">
      <alignment horizontal="right"/>
      <protection hidden="1"/>
    </xf>
    <xf numFmtId="1" fontId="0" fillId="0" borderId="0" xfId="0" applyNumberFormat="1" applyProtection="1">
      <protection hidden="1"/>
    </xf>
    <xf numFmtId="1" fontId="0" fillId="4" borderId="0" xfId="0" applyNumberFormat="1" applyFill="1"/>
    <xf numFmtId="39" fontId="44" fillId="4" borderId="13" xfId="0" applyNumberFormat="1" applyFont="1" applyFill="1" applyBorder="1" applyAlignment="1" applyProtection="1">
      <alignment horizontal="center" vertical="top" wrapText="1"/>
      <protection hidden="1"/>
    </xf>
    <xf numFmtId="38" fontId="69" fillId="4" borderId="69" xfId="0" applyNumberFormat="1" applyFont="1" applyFill="1" applyBorder="1" applyAlignment="1" applyProtection="1">
      <alignment horizontal="right" vertical="center"/>
      <protection hidden="1"/>
    </xf>
    <xf numFmtId="38" fontId="69" fillId="4" borderId="72" xfId="0" applyNumberFormat="1" applyFont="1" applyFill="1" applyBorder="1" applyAlignment="1" applyProtection="1">
      <alignment horizontal="right" vertical="center"/>
      <protection hidden="1"/>
    </xf>
    <xf numFmtId="38" fontId="69" fillId="4" borderId="75" xfId="0" applyNumberFormat="1" applyFont="1" applyFill="1" applyBorder="1" applyAlignment="1" applyProtection="1">
      <alignment horizontal="right" vertical="center"/>
      <protection hidden="1"/>
    </xf>
    <xf numFmtId="0" fontId="0" fillId="0" borderId="0" xfId="0" applyAlignment="1" applyProtection="1">
      <alignment horizontal="center" wrapText="1"/>
      <protection hidden="1"/>
    </xf>
    <xf numFmtId="0" fontId="76" fillId="0" borderId="13" xfId="0" applyFont="1" applyBorder="1" applyAlignment="1" applyProtection="1">
      <alignment horizontal="center"/>
      <protection hidden="1"/>
    </xf>
    <xf numFmtId="2" fontId="48" fillId="0" borderId="0" xfId="3" applyNumberFormat="1" applyFont="1" applyAlignment="1" applyProtection="1">
      <alignment horizontal="left"/>
      <protection hidden="1"/>
    </xf>
    <xf numFmtId="0" fontId="2" fillId="2" borderId="0" xfId="0" applyFont="1" applyFill="1" applyAlignment="1" applyProtection="1">
      <alignment vertical="center"/>
      <protection hidden="1"/>
    </xf>
    <xf numFmtId="0" fontId="8" fillId="3" borderId="0" xfId="0" applyFont="1" applyFill="1" applyProtection="1">
      <protection hidden="1"/>
    </xf>
    <xf numFmtId="0" fontId="14" fillId="3" borderId="0" xfId="0" applyFont="1" applyFill="1" applyProtection="1">
      <protection hidden="1"/>
    </xf>
    <xf numFmtId="0" fontId="74" fillId="3" borderId="34" xfId="0" applyFont="1" applyFill="1" applyBorder="1" applyAlignment="1" applyProtection="1">
      <alignment vertical="center"/>
      <protection hidden="1"/>
    </xf>
    <xf numFmtId="0" fontId="85" fillId="0" borderId="0" xfId="0" applyFont="1" applyProtection="1">
      <protection hidden="1"/>
    </xf>
    <xf numFmtId="8" fontId="84" fillId="0" borderId="0" xfId="0" applyNumberFormat="1" applyFont="1" applyProtection="1">
      <protection hidden="1"/>
    </xf>
    <xf numFmtId="3" fontId="18" fillId="0" borderId="0" xfId="0" applyNumberFormat="1" applyFont="1" applyProtection="1">
      <protection hidden="1"/>
    </xf>
    <xf numFmtId="49" fontId="16" fillId="0" borderId="11" xfId="0" applyNumberFormat="1" applyFont="1" applyBorder="1" applyAlignment="1" applyProtection="1">
      <alignment horizontal="center" vertical="top" wrapText="1"/>
      <protection hidden="1"/>
    </xf>
    <xf numFmtId="0" fontId="38" fillId="0" borderId="0" xfId="0" applyFont="1" applyProtection="1">
      <protection hidden="1"/>
    </xf>
    <xf numFmtId="49" fontId="16" fillId="0" borderId="12" xfId="0" applyNumberFormat="1" applyFont="1" applyBorder="1" applyAlignment="1" applyProtection="1">
      <alignment horizontal="center" vertical="top" wrapText="1"/>
      <protection hidden="1"/>
    </xf>
    <xf numFmtId="49" fontId="16" fillId="0" borderId="0" xfId="0" applyNumberFormat="1" applyFont="1" applyAlignment="1" applyProtection="1">
      <alignment horizontal="center" vertical="top" wrapText="1"/>
      <protection hidden="1"/>
    </xf>
    <xf numFmtId="49" fontId="38" fillId="0" borderId="0" xfId="0" applyNumberFormat="1" applyFont="1" applyAlignment="1" applyProtection="1">
      <alignment horizontal="left" vertical="top" wrapText="1"/>
      <protection hidden="1"/>
    </xf>
    <xf numFmtId="8" fontId="7" fillId="4" borderId="13" xfId="0" applyNumberFormat="1" applyFont="1" applyFill="1" applyBorder="1" applyAlignment="1" applyProtection="1">
      <alignment vertical="center"/>
      <protection locked="0" hidden="1"/>
    </xf>
    <xf numFmtId="49" fontId="6" fillId="2" borderId="0" xfId="0" applyNumberFormat="1" applyFont="1" applyFill="1" applyAlignment="1" applyProtection="1">
      <alignment horizontal="right" vertical="center"/>
      <protection hidden="1"/>
    </xf>
    <xf numFmtId="0" fontId="0" fillId="0" borderId="0" xfId="0" applyAlignment="1" applyProtection="1">
      <alignment horizontal="left" vertical="top" wrapText="1"/>
      <protection locked="0"/>
    </xf>
    <xf numFmtId="0" fontId="87" fillId="0" borderId="68" xfId="0" applyFont="1" applyBorder="1" applyProtection="1">
      <protection hidden="1"/>
    </xf>
    <xf numFmtId="0" fontId="76" fillId="0" borderId="71" xfId="0" applyFont="1" applyBorder="1" applyProtection="1">
      <protection hidden="1"/>
    </xf>
    <xf numFmtId="0" fontId="76" fillId="3" borderId="71" xfId="0" applyFont="1" applyFill="1" applyBorder="1" applyProtection="1">
      <protection hidden="1"/>
    </xf>
    <xf numFmtId="0" fontId="76" fillId="5" borderId="71" xfId="0" applyFont="1" applyFill="1" applyBorder="1" applyProtection="1">
      <protection hidden="1"/>
    </xf>
    <xf numFmtId="0" fontId="76" fillId="40" borderId="71" xfId="0" applyFont="1" applyFill="1" applyBorder="1" applyProtection="1">
      <protection hidden="1"/>
    </xf>
    <xf numFmtId="0" fontId="76" fillId="39" borderId="71" xfId="0" applyFont="1" applyFill="1" applyBorder="1" applyProtection="1">
      <protection hidden="1"/>
    </xf>
    <xf numFmtId="0" fontId="76" fillId="41" borderId="71" xfId="0" applyFont="1" applyFill="1" applyBorder="1" applyProtection="1">
      <protection hidden="1"/>
    </xf>
    <xf numFmtId="0" fontId="76" fillId="42" borderId="71" xfId="0" applyFont="1" applyFill="1" applyBorder="1" applyProtection="1">
      <protection hidden="1"/>
    </xf>
    <xf numFmtId="0" fontId="76" fillId="42" borderId="74" xfId="0" applyFont="1" applyFill="1" applyBorder="1" applyProtection="1">
      <protection hidden="1"/>
    </xf>
    <xf numFmtId="39" fontId="0" fillId="45" borderId="101" xfId="0" applyNumberFormat="1" applyFill="1" applyBorder="1" applyProtection="1">
      <protection hidden="1"/>
    </xf>
    <xf numFmtId="8" fontId="69" fillId="45" borderId="102" xfId="0" applyNumberFormat="1" applyFont="1" applyFill="1" applyBorder="1" applyAlignment="1" applyProtection="1">
      <alignment horizontal="right" vertical="center"/>
      <protection hidden="1"/>
    </xf>
    <xf numFmtId="39" fontId="0" fillId="45" borderId="103" xfId="0" applyNumberFormat="1" applyFill="1" applyBorder="1" applyProtection="1">
      <protection hidden="1"/>
    </xf>
    <xf numFmtId="0" fontId="0" fillId="0" borderId="13" xfId="0" applyBorder="1"/>
    <xf numFmtId="0" fontId="7" fillId="2" borderId="0" xfId="0" applyFont="1" applyFill="1" applyAlignment="1" applyProtection="1">
      <alignment horizontal="left" vertical="center" indent="1"/>
      <protection hidden="1"/>
    </xf>
    <xf numFmtId="0" fontId="8" fillId="2" borderId="0" xfId="0" applyFont="1" applyFill="1" applyAlignment="1" applyProtection="1">
      <alignment horizontal="left" vertical="center" indent="1"/>
      <protection locked="0"/>
    </xf>
    <xf numFmtId="3" fontId="12" fillId="2" borderId="0" xfId="0" applyNumberFormat="1" applyFont="1" applyFill="1" applyAlignment="1" applyProtection="1">
      <alignment horizontal="left" vertical="center" indent="1"/>
      <protection hidden="1"/>
    </xf>
    <xf numFmtId="0" fontId="8" fillId="2" borderId="0" xfId="0" applyFont="1" applyFill="1" applyAlignment="1" applyProtection="1">
      <alignment horizontal="left" vertical="center" indent="1"/>
      <protection hidden="1"/>
    </xf>
    <xf numFmtId="168" fontId="7" fillId="4" borderId="13" xfId="0" applyNumberFormat="1" applyFont="1" applyFill="1" applyBorder="1" applyAlignment="1" applyProtection="1">
      <alignment horizontal="center" vertical="center"/>
      <protection locked="0" hidden="1"/>
    </xf>
    <xf numFmtId="0" fontId="8" fillId="0" borderId="0" xfId="0" applyFont="1" applyAlignment="1" applyProtection="1">
      <alignment horizontal="right" indent="1"/>
      <protection hidden="1"/>
    </xf>
    <xf numFmtId="14" fontId="7" fillId="4" borderId="13" xfId="0" applyNumberFormat="1" applyFont="1" applyFill="1" applyBorder="1" applyAlignment="1" applyProtection="1">
      <alignment horizontal="center" vertical="center"/>
      <protection hidden="1"/>
    </xf>
    <xf numFmtId="0" fontId="91" fillId="0" borderId="0" xfId="0" applyFont="1" applyAlignment="1" applyProtection="1">
      <alignment horizontal="center"/>
      <protection hidden="1"/>
    </xf>
    <xf numFmtId="0" fontId="48" fillId="55" borderId="40" xfId="0" applyFont="1" applyFill="1" applyBorder="1" applyAlignment="1" applyProtection="1">
      <alignment horizontal="left"/>
      <protection hidden="1"/>
    </xf>
    <xf numFmtId="0" fontId="48" fillId="55" borderId="23" xfId="0" applyFont="1" applyFill="1" applyBorder="1" applyAlignment="1" applyProtection="1">
      <alignment horizontal="left"/>
      <protection hidden="1"/>
    </xf>
    <xf numFmtId="0" fontId="0" fillId="0" borderId="0" xfId="0" applyAlignment="1">
      <alignment horizontal="left" wrapText="1"/>
    </xf>
    <xf numFmtId="0" fontId="27" fillId="56" borderId="16" xfId="0" applyFont="1" applyFill="1" applyBorder="1" applyAlignment="1">
      <alignment horizontal="center" vertical="top" wrapText="1"/>
    </xf>
    <xf numFmtId="0" fontId="30" fillId="56" borderId="16" xfId="0" applyFont="1" applyFill="1" applyBorder="1" applyAlignment="1">
      <alignment horizontal="right" vertical="center" wrapText="1"/>
    </xf>
    <xf numFmtId="0" fontId="19"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49" fontId="6" fillId="0" borderId="0" xfId="0" applyNumberFormat="1" applyFont="1" applyAlignment="1" applyProtection="1">
      <alignment horizontal="left" vertical="center"/>
      <protection locked="0" hidden="1"/>
    </xf>
    <xf numFmtId="49" fontId="6" fillId="0" borderId="9" xfId="0" applyNumberFormat="1" applyFont="1" applyBorder="1" applyAlignment="1" applyProtection="1">
      <alignment horizontal="left" vertical="center"/>
      <protection locked="0" hidden="1"/>
    </xf>
    <xf numFmtId="0" fontId="18" fillId="0" borderId="0" xfId="0" applyFont="1" applyAlignment="1">
      <alignment horizontal="center" vertical="top"/>
    </xf>
    <xf numFmtId="0" fontId="18" fillId="0" borderId="0" xfId="0" applyFont="1" applyAlignment="1" applyProtection="1">
      <alignment horizontal="left" vertical="center" indent="1"/>
      <protection hidden="1"/>
    </xf>
    <xf numFmtId="0" fontId="47" fillId="0" borderId="0" xfId="0" applyFont="1" applyAlignment="1">
      <alignment horizontal="left"/>
    </xf>
    <xf numFmtId="0" fontId="18" fillId="0" borderId="7" xfId="0" applyFont="1" applyBorder="1" applyAlignment="1">
      <alignment horizontal="center" vertical="top"/>
    </xf>
    <xf numFmtId="0" fontId="0" fillId="0" borderId="0" xfId="0" applyAlignment="1">
      <alignment horizontal="center" vertical="top"/>
    </xf>
    <xf numFmtId="0" fontId="0" fillId="0" borderId="0" xfId="0" applyAlignment="1">
      <alignment vertical="top" wrapText="1"/>
    </xf>
    <xf numFmtId="0" fontId="8" fillId="3" borderId="0" xfId="0" applyFont="1" applyFill="1" applyAlignment="1" applyProtection="1">
      <alignment vertical="top"/>
      <protection hidden="1"/>
    </xf>
    <xf numFmtId="0" fontId="8" fillId="3" borderId="0" xfId="0" applyFont="1" applyFill="1" applyAlignment="1" applyProtection="1">
      <alignment horizontal="left"/>
      <protection hidden="1"/>
    </xf>
    <xf numFmtId="0" fontId="8" fillId="3" borderId="0" xfId="0" applyFont="1" applyFill="1" applyAlignment="1" applyProtection="1">
      <alignment vertical="center"/>
      <protection hidden="1"/>
    </xf>
    <xf numFmtId="0" fontId="8" fillId="44" borderId="13" xfId="0" applyFont="1" applyFill="1" applyBorder="1" applyAlignment="1" applyProtection="1">
      <alignment vertical="center"/>
      <protection locked="0"/>
    </xf>
    <xf numFmtId="0" fontId="0" fillId="6" borderId="0" xfId="0" applyFill="1"/>
    <xf numFmtId="8" fontId="0" fillId="6" borderId="0" xfId="0" applyNumberFormat="1" applyFill="1"/>
    <xf numFmtId="0" fontId="18" fillId="0" borderId="0" xfId="0" applyFont="1" applyAlignment="1" applyProtection="1">
      <alignment horizontal="left"/>
      <protection hidden="1"/>
    </xf>
    <xf numFmtId="0" fontId="13" fillId="0" borderId="0" xfId="0" applyFont="1" applyAlignment="1" applyProtection="1">
      <alignment horizontal="right" vertical="center"/>
      <protection hidden="1"/>
    </xf>
    <xf numFmtId="0" fontId="8" fillId="0" borderId="0" xfId="0" applyFont="1" applyAlignment="1" applyProtection="1">
      <alignment horizontal="left" wrapText="1"/>
      <protection hidden="1"/>
    </xf>
    <xf numFmtId="14" fontId="5" fillId="0" borderId="0" xfId="0" applyNumberFormat="1"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76" fillId="0" borderId="108" xfId="0" applyFont="1" applyBorder="1" applyAlignment="1" applyProtection="1">
      <alignment vertical="top" wrapText="1"/>
      <protection hidden="1"/>
    </xf>
    <xf numFmtId="0" fontId="16" fillId="2" borderId="109" xfId="0" applyFont="1" applyFill="1" applyBorder="1" applyAlignment="1" applyProtection="1">
      <alignment vertical="center"/>
      <protection hidden="1"/>
    </xf>
    <xf numFmtId="0" fontId="37" fillId="2" borderId="110" xfId="0" applyFont="1" applyFill="1" applyBorder="1" applyAlignment="1" applyProtection="1">
      <alignment horizontal="left" vertical="top" wrapText="1"/>
      <protection hidden="1"/>
    </xf>
    <xf numFmtId="0" fontId="38" fillId="2" borderId="110" xfId="0" applyFont="1" applyFill="1" applyBorder="1" applyAlignment="1" applyProtection="1">
      <alignment horizontal="left" vertical="top" wrapText="1"/>
      <protection hidden="1"/>
    </xf>
    <xf numFmtId="0" fontId="38" fillId="2" borderId="111" xfId="0" applyFont="1" applyFill="1" applyBorder="1" applyAlignment="1" applyProtection="1">
      <alignment horizontal="left" vertical="top" wrapText="1"/>
      <protection hidden="1"/>
    </xf>
    <xf numFmtId="0" fontId="40" fillId="2" borderId="110" xfId="0" applyFont="1" applyFill="1" applyBorder="1" applyAlignment="1" applyProtection="1">
      <alignment horizontal="left" vertical="top" wrapText="1"/>
      <protection hidden="1"/>
    </xf>
    <xf numFmtId="0" fontId="77" fillId="2" borderId="0" xfId="0" applyFont="1" applyFill="1" applyProtection="1">
      <protection hidden="1"/>
    </xf>
    <xf numFmtId="0" fontId="38" fillId="2" borderId="0" xfId="0" applyFont="1" applyFill="1" applyAlignment="1" applyProtection="1">
      <alignment vertical="top"/>
      <protection hidden="1"/>
    </xf>
    <xf numFmtId="0" fontId="16" fillId="2" borderId="114" xfId="0" applyFont="1" applyFill="1" applyBorder="1" applyAlignment="1" applyProtection="1">
      <alignment horizontal="center" vertical="top"/>
      <protection hidden="1"/>
    </xf>
    <xf numFmtId="0" fontId="44" fillId="4" borderId="91" xfId="0" applyFont="1" applyFill="1" applyBorder="1" applyAlignment="1" applyProtection="1">
      <alignment vertical="top" wrapText="1"/>
      <protection hidden="1"/>
    </xf>
    <xf numFmtId="0" fontId="44" fillId="4" borderId="92" xfId="0" applyFont="1" applyFill="1" applyBorder="1" applyAlignment="1" applyProtection="1">
      <alignment vertical="top"/>
      <protection hidden="1"/>
    </xf>
    <xf numFmtId="44" fontId="44" fillId="4" borderId="92" xfId="0" applyNumberFormat="1" applyFont="1" applyFill="1" applyBorder="1" applyAlignment="1" applyProtection="1">
      <alignment horizontal="center" vertical="top" wrapText="1"/>
      <protection hidden="1"/>
    </xf>
    <xf numFmtId="0" fontId="44" fillId="4" borderId="93" xfId="0" applyFont="1" applyFill="1" applyBorder="1" applyAlignment="1" applyProtection="1">
      <alignment horizontal="center" vertical="top" wrapText="1"/>
      <protection hidden="1"/>
    </xf>
    <xf numFmtId="0" fontId="0" fillId="0" borderId="0" xfId="0" applyAlignment="1" applyProtection="1">
      <alignment vertical="top" wrapText="1"/>
      <protection hidden="1"/>
    </xf>
    <xf numFmtId="0" fontId="47" fillId="0" borderId="0" xfId="0" applyFont="1" applyAlignment="1" applyProtection="1">
      <alignment vertical="top"/>
      <protection hidden="1"/>
    </xf>
    <xf numFmtId="0" fontId="94" fillId="57" borderId="107" xfId="47" applyFont="1" applyFill="1" applyBorder="1" applyAlignment="1" applyProtection="1">
      <alignment horizontal="center" vertical="top" wrapText="1"/>
      <protection hidden="1"/>
    </xf>
    <xf numFmtId="0" fontId="0" fillId="6" borderId="0" xfId="0" applyFill="1" applyAlignment="1" applyProtection="1">
      <alignment vertical="top"/>
      <protection hidden="1"/>
    </xf>
    <xf numFmtId="0" fontId="0" fillId="4" borderId="85" xfId="0" applyFill="1" applyBorder="1" applyProtection="1">
      <protection hidden="1"/>
    </xf>
    <xf numFmtId="0" fontId="0" fillId="4" borderId="71" xfId="0" applyFill="1" applyBorder="1" applyProtection="1">
      <protection hidden="1"/>
    </xf>
    <xf numFmtId="44" fontId="0" fillId="0" borderId="0" xfId="0" applyNumberFormat="1" applyProtection="1">
      <protection hidden="1"/>
    </xf>
    <xf numFmtId="8" fontId="69" fillId="4" borderId="86" xfId="0" applyNumberFormat="1" applyFont="1" applyFill="1" applyBorder="1" applyAlignment="1" applyProtection="1">
      <alignment horizontal="right" vertical="center"/>
      <protection hidden="1"/>
    </xf>
    <xf numFmtId="0" fontId="47" fillId="0" borderId="0" xfId="0" applyFont="1" applyProtection="1">
      <protection hidden="1"/>
    </xf>
    <xf numFmtId="0" fontId="0" fillId="6" borderId="0" xfId="0" applyFill="1" applyProtection="1">
      <protection hidden="1"/>
    </xf>
    <xf numFmtId="6" fontId="0" fillId="6" borderId="0" xfId="0" applyNumberFormat="1" applyFill="1" applyProtection="1">
      <protection hidden="1"/>
    </xf>
    <xf numFmtId="0" fontId="0" fillId="49" borderId="42" xfId="0" applyFill="1" applyBorder="1" applyProtection="1">
      <protection hidden="1"/>
    </xf>
    <xf numFmtId="0" fontId="0" fillId="49" borderId="8" xfId="0" applyFill="1" applyBorder="1" applyProtection="1">
      <protection hidden="1"/>
    </xf>
    <xf numFmtId="8" fontId="69" fillId="49" borderId="95" xfId="0" applyNumberFormat="1" applyFont="1" applyFill="1" applyBorder="1" applyAlignment="1" applyProtection="1">
      <alignment horizontal="right" vertical="center"/>
      <protection hidden="1"/>
    </xf>
    <xf numFmtId="0" fontId="0" fillId="49" borderId="32" xfId="0" applyFill="1" applyBorder="1" applyProtection="1">
      <protection hidden="1"/>
    </xf>
    <xf numFmtId="0" fontId="0" fillId="49" borderId="16" xfId="0" applyFill="1" applyBorder="1" applyProtection="1">
      <protection hidden="1"/>
    </xf>
    <xf numFmtId="8" fontId="69" fillId="49" borderId="50" xfId="0" applyNumberFormat="1" applyFont="1" applyFill="1" applyBorder="1" applyAlignment="1" applyProtection="1">
      <alignment horizontal="right" vertical="center"/>
      <protection hidden="1"/>
    </xf>
    <xf numFmtId="0" fontId="72" fillId="51" borderId="99" xfId="0" applyFont="1" applyFill="1" applyBorder="1" applyProtection="1">
      <protection hidden="1"/>
    </xf>
    <xf numFmtId="0" fontId="72" fillId="51" borderId="100" xfId="0" applyFont="1" applyFill="1" applyBorder="1" applyProtection="1">
      <protection hidden="1"/>
    </xf>
    <xf numFmtId="0" fontId="0" fillId="44" borderId="0" xfId="0" applyFill="1" applyProtection="1">
      <protection hidden="1"/>
    </xf>
    <xf numFmtId="0" fontId="38" fillId="53" borderId="99" xfId="0" applyFont="1" applyFill="1" applyBorder="1" applyProtection="1">
      <protection hidden="1"/>
    </xf>
    <xf numFmtId="0" fontId="38" fillId="0" borderId="99" xfId="0" applyFont="1" applyBorder="1" applyProtection="1">
      <protection hidden="1"/>
    </xf>
    <xf numFmtId="49" fontId="38" fillId="0" borderId="100" xfId="0" quotePrefix="1" applyNumberFormat="1" applyFont="1" applyBorder="1" applyProtection="1">
      <protection hidden="1"/>
    </xf>
    <xf numFmtId="0" fontId="38" fillId="52" borderId="99" xfId="0" applyFont="1" applyFill="1" applyBorder="1" applyProtection="1">
      <protection hidden="1"/>
    </xf>
    <xf numFmtId="49" fontId="38" fillId="52" borderId="100" xfId="0" applyNumberFormat="1" applyFont="1" applyFill="1" applyBorder="1" applyProtection="1">
      <protection hidden="1"/>
    </xf>
    <xf numFmtId="0" fontId="72" fillId="0" borderId="0" xfId="0" applyFont="1" applyProtection="1">
      <protection hidden="1"/>
    </xf>
    <xf numFmtId="49" fontId="38" fillId="0" borderId="0" xfId="0" applyNumberFormat="1" applyFont="1" applyProtection="1">
      <protection hidden="1"/>
    </xf>
    <xf numFmtId="49" fontId="38" fillId="0" borderId="0" xfId="0" quotePrefix="1" applyNumberFormat="1" applyFont="1" applyProtection="1">
      <protection hidden="1"/>
    </xf>
    <xf numFmtId="0" fontId="0" fillId="3" borderId="65" xfId="0" applyFill="1" applyBorder="1" applyProtection="1">
      <protection hidden="1"/>
    </xf>
    <xf numFmtId="8" fontId="69" fillId="4" borderId="71" xfId="0" applyNumberFormat="1" applyFont="1" applyFill="1" applyBorder="1" applyAlignment="1" applyProtection="1">
      <alignment horizontal="right" vertical="center"/>
      <protection hidden="1"/>
    </xf>
    <xf numFmtId="0" fontId="41" fillId="0" borderId="0" xfId="0" applyFont="1" applyAlignment="1" applyProtection="1">
      <alignment horizontal="left" vertical="top" wrapText="1"/>
      <protection hidden="1"/>
    </xf>
    <xf numFmtId="0" fontId="38" fillId="0" borderId="0" xfId="0" applyFont="1" applyAlignment="1">
      <alignment horizontal="left" vertical="top" wrapText="1"/>
    </xf>
    <xf numFmtId="0" fontId="38" fillId="0" borderId="19" xfId="0" applyFont="1" applyBorder="1" applyAlignment="1">
      <alignment horizontal="left" vertical="top" wrapText="1"/>
    </xf>
    <xf numFmtId="0" fontId="38" fillId="2" borderId="112" xfId="0" applyFont="1" applyFill="1" applyBorder="1" applyAlignment="1" applyProtection="1">
      <alignment horizontal="left" vertical="top" wrapText="1"/>
      <protection hidden="1"/>
    </xf>
    <xf numFmtId="0" fontId="38" fillId="2" borderId="113" xfId="0" applyFont="1" applyFill="1" applyBorder="1" applyAlignment="1" applyProtection="1">
      <alignment horizontal="left" vertical="top" wrapText="1"/>
      <protection hidden="1"/>
    </xf>
    <xf numFmtId="0" fontId="38" fillId="2" borderId="7" xfId="0" applyFont="1" applyFill="1" applyBorder="1" applyAlignment="1" applyProtection="1">
      <alignment horizontal="left" vertical="top" wrapText="1"/>
      <protection hidden="1"/>
    </xf>
    <xf numFmtId="0" fontId="38" fillId="2" borderId="10" xfId="0" applyFont="1" applyFill="1" applyBorder="1" applyAlignment="1" applyProtection="1">
      <alignment horizontal="left" vertical="top" wrapText="1"/>
      <protection hidden="1"/>
    </xf>
    <xf numFmtId="49" fontId="38" fillId="2" borderId="0" xfId="0" applyNumberFormat="1" applyFont="1" applyFill="1" applyAlignment="1" applyProtection="1">
      <alignment horizontal="left" vertical="top" wrapText="1"/>
      <protection hidden="1"/>
    </xf>
    <xf numFmtId="49" fontId="38" fillId="2" borderId="19" xfId="0" applyNumberFormat="1" applyFont="1" applyFill="1" applyBorder="1" applyAlignment="1" applyProtection="1">
      <alignment horizontal="left" vertical="top" wrapText="1"/>
      <protection hidden="1"/>
    </xf>
    <xf numFmtId="49" fontId="38" fillId="0" borderId="7" xfId="0" applyNumberFormat="1" applyFont="1" applyBorder="1" applyAlignment="1" applyProtection="1">
      <alignment horizontal="left" vertical="top" wrapText="1"/>
      <protection hidden="1"/>
    </xf>
    <xf numFmtId="49" fontId="38" fillId="0" borderId="10" xfId="0" applyNumberFormat="1" applyFont="1" applyBorder="1" applyAlignment="1" applyProtection="1">
      <alignment horizontal="left" vertical="top" wrapText="1"/>
      <protection hidden="1"/>
    </xf>
    <xf numFmtId="0" fontId="38" fillId="2" borderId="0" xfId="0" applyFont="1" applyFill="1" applyAlignment="1" applyProtection="1">
      <alignment horizontal="left" vertical="top" wrapText="1"/>
      <protection hidden="1"/>
    </xf>
    <xf numFmtId="0" fontId="38" fillId="2" borderId="19" xfId="0" applyFont="1" applyFill="1" applyBorder="1" applyAlignment="1" applyProtection="1">
      <alignment horizontal="left" vertical="top" wrapText="1"/>
      <protection hidden="1"/>
    </xf>
    <xf numFmtId="0" fontId="41" fillId="2" borderId="7" xfId="0" applyFont="1" applyFill="1" applyBorder="1" applyAlignment="1" applyProtection="1">
      <alignment horizontal="left" vertical="top" wrapText="1"/>
      <protection hidden="1"/>
    </xf>
    <xf numFmtId="0" fontId="41" fillId="2" borderId="10" xfId="0" applyFont="1" applyFill="1" applyBorder="1" applyAlignment="1" applyProtection="1">
      <alignment horizontal="left" vertical="top" wrapText="1"/>
      <protection hidden="1"/>
    </xf>
    <xf numFmtId="0" fontId="41" fillId="2" borderId="112" xfId="0" applyFont="1" applyFill="1" applyBorder="1" applyAlignment="1" applyProtection="1">
      <alignment horizontal="left" vertical="top" wrapText="1"/>
      <protection hidden="1"/>
    </xf>
    <xf numFmtId="0" fontId="41" fillId="2" borderId="113" xfId="0" applyFont="1" applyFill="1" applyBorder="1" applyAlignment="1" applyProtection="1">
      <alignment horizontal="left" vertical="top" wrapText="1"/>
      <protection hidden="1"/>
    </xf>
    <xf numFmtId="0" fontId="16" fillId="2" borderId="0" xfId="0" applyFont="1" applyFill="1" applyAlignment="1" applyProtection="1">
      <alignment horizontal="center" vertical="center"/>
      <protection hidden="1"/>
    </xf>
    <xf numFmtId="0" fontId="0" fillId="0" borderId="0" xfId="0"/>
    <xf numFmtId="0" fontId="95" fillId="2" borderId="0" xfId="0" applyFont="1" applyFill="1" applyAlignment="1" applyProtection="1">
      <alignment horizontal="center" vertical="top" wrapText="1"/>
      <protection hidden="1"/>
    </xf>
    <xf numFmtId="0" fontId="13" fillId="2" borderId="0" xfId="0" applyFont="1" applyFill="1" applyAlignment="1" applyProtection="1">
      <alignment horizontal="center" vertical="center"/>
      <protection hidden="1"/>
    </xf>
    <xf numFmtId="0" fontId="13" fillId="0" borderId="0" xfId="0" applyFont="1" applyAlignment="1">
      <alignment horizontal="center" vertical="center"/>
    </xf>
    <xf numFmtId="0" fontId="16" fillId="2" borderId="0" xfId="0" applyFont="1" applyFill="1" applyAlignment="1" applyProtection="1">
      <alignment horizontal="left" vertical="top" wrapText="1"/>
      <protection hidden="1"/>
    </xf>
    <xf numFmtId="0" fontId="16" fillId="2" borderId="19" xfId="0" applyFont="1" applyFill="1" applyBorder="1" applyAlignment="1" applyProtection="1">
      <alignment horizontal="left" vertical="top" wrapText="1"/>
      <protection hidden="1"/>
    </xf>
    <xf numFmtId="0" fontId="89" fillId="2" borderId="0" xfId="0" applyFont="1" applyFill="1" applyAlignment="1" applyProtection="1">
      <alignment horizontal="center" vertical="center"/>
      <protection hidden="1"/>
    </xf>
    <xf numFmtId="0" fontId="75" fillId="2" borderId="0" xfId="0" applyFont="1" applyFill="1" applyAlignment="1" applyProtection="1">
      <alignment horizontal="center"/>
      <protection hidden="1"/>
    </xf>
    <xf numFmtId="0" fontId="8" fillId="0" borderId="71" xfId="0" applyFont="1" applyBorder="1" applyProtection="1">
      <protection hidden="1"/>
    </xf>
    <xf numFmtId="0" fontId="8" fillId="0" borderId="72" xfId="0" applyFont="1" applyBorder="1"/>
    <xf numFmtId="0" fontId="8" fillId="0" borderId="74" xfId="0" applyFont="1" applyBorder="1" applyProtection="1">
      <protection hidden="1"/>
    </xf>
    <xf numFmtId="0" fontId="8" fillId="0" borderId="75" xfId="0" applyFont="1" applyBorder="1"/>
    <xf numFmtId="0" fontId="74" fillId="3" borderId="17" xfId="0" applyFont="1" applyFill="1" applyBorder="1" applyAlignment="1" applyProtection="1">
      <alignment vertical="center" wrapText="1"/>
      <protection hidden="1"/>
    </xf>
    <xf numFmtId="0" fontId="0" fillId="0" borderId="18"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7" fillId="0" borderId="68" xfId="0" applyFont="1" applyBorder="1" applyProtection="1">
      <protection hidden="1"/>
    </xf>
    <xf numFmtId="0" fontId="7" fillId="0" borderId="69" xfId="0" applyFont="1" applyBorder="1"/>
    <xf numFmtId="0" fontId="16"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11" fillId="0" borderId="0" xfId="0" applyFont="1" applyAlignment="1" applyProtection="1">
      <alignment horizontal="center" vertical="top"/>
      <protection hidden="1"/>
    </xf>
    <xf numFmtId="0" fontId="2" fillId="2" borderId="0" xfId="0" applyFont="1" applyFill="1" applyAlignment="1" applyProtection="1">
      <alignment vertical="center"/>
      <protection hidden="1"/>
    </xf>
    <xf numFmtId="0" fontId="18" fillId="2" borderId="8" xfId="0" applyFont="1" applyFill="1" applyBorder="1" applyAlignment="1" applyProtection="1">
      <alignment horizontal="center" vertical="center"/>
      <protection hidden="1"/>
    </xf>
    <xf numFmtId="49" fontId="7" fillId="4" borderId="20" xfId="0" applyNumberFormat="1" applyFont="1" applyFill="1" applyBorder="1" applyAlignment="1" applyProtection="1">
      <alignment horizontal="center" vertical="center"/>
      <protection locked="0" hidden="1"/>
    </xf>
    <xf numFmtId="49" fontId="7" fillId="4" borderId="21" xfId="0" applyNumberFormat="1" applyFont="1" applyFill="1" applyBorder="1" applyAlignment="1" applyProtection="1">
      <alignment horizontal="center" vertical="center"/>
      <protection locked="0" hidden="1"/>
    </xf>
    <xf numFmtId="49" fontId="7" fillId="4" borderId="20" xfId="0" applyNumberFormat="1" applyFont="1" applyFill="1" applyBorder="1" applyAlignment="1" applyProtection="1">
      <alignment horizontal="left" vertical="center"/>
      <protection locked="0" hidden="1"/>
    </xf>
    <xf numFmtId="0" fontId="0" fillId="0" borderId="21" xfId="0" applyBorder="1" applyAlignment="1" applyProtection="1">
      <alignment horizontal="left" vertical="center"/>
      <protection locked="0" hidden="1"/>
    </xf>
    <xf numFmtId="0" fontId="20" fillId="0" borderId="0" xfId="0" applyFont="1" applyAlignment="1" applyProtection="1">
      <alignment horizontal="left" vertical="center"/>
      <protection hidden="1"/>
    </xf>
    <xf numFmtId="0" fontId="2" fillId="4" borderId="17" xfId="0" applyFont="1" applyFill="1" applyBorder="1" applyAlignment="1" applyProtection="1">
      <alignment horizontal="center"/>
      <protection locked="0" hidden="1"/>
    </xf>
    <xf numFmtId="0" fontId="2" fillId="4" borderId="8" xfId="0" applyFont="1" applyFill="1" applyBorder="1" applyAlignment="1" applyProtection="1">
      <alignment horizontal="center"/>
      <protection locked="0" hidden="1"/>
    </xf>
    <xf numFmtId="0" fontId="2" fillId="4" borderId="18" xfId="0" applyFont="1" applyFill="1" applyBorder="1" applyAlignment="1" applyProtection="1">
      <alignment horizontal="center"/>
      <protection locked="0" hidden="1"/>
    </xf>
    <xf numFmtId="0" fontId="7" fillId="4" borderId="20" xfId="0" applyFont="1" applyFill="1" applyBorder="1" applyAlignment="1" applyProtection="1">
      <alignment horizontal="center"/>
      <protection locked="0" hidden="1"/>
    </xf>
    <xf numFmtId="0" fontId="7" fillId="4" borderId="9" xfId="0" applyFont="1" applyFill="1" applyBorder="1" applyAlignment="1" applyProtection="1">
      <alignment horizontal="center"/>
      <protection locked="0" hidden="1"/>
    </xf>
    <xf numFmtId="0" fontId="7" fillId="4" borderId="21" xfId="0" applyFont="1" applyFill="1" applyBorder="1" applyAlignment="1" applyProtection="1">
      <alignment horizontal="center"/>
      <protection locked="0" hidden="1"/>
    </xf>
    <xf numFmtId="0" fontId="12" fillId="0" borderId="31" xfId="0" applyFont="1" applyBorder="1" applyAlignment="1" applyProtection="1">
      <alignment horizontal="right" vertical="center" wrapText="1" indent="1"/>
      <protection hidden="1"/>
    </xf>
    <xf numFmtId="0" fontId="0" fillId="0" borderId="1" xfId="0" applyBorder="1" applyAlignment="1">
      <alignment horizontal="right" vertical="center" indent="1"/>
    </xf>
    <xf numFmtId="0" fontId="12" fillId="0" borderId="32" xfId="0" applyFont="1" applyBorder="1" applyAlignment="1" applyProtection="1">
      <alignment horizontal="right" vertical="center" indent="1"/>
      <protection hidden="1"/>
    </xf>
    <xf numFmtId="0" fontId="0" fillId="0" borderId="16" xfId="0" applyBorder="1" applyAlignment="1">
      <alignment horizontal="right" vertical="center" indent="1"/>
    </xf>
    <xf numFmtId="49" fontId="6" fillId="4" borderId="20" xfId="0" applyNumberFormat="1" applyFont="1" applyFill="1" applyBorder="1" applyAlignment="1" applyProtection="1">
      <alignment horizontal="left" vertical="center"/>
      <protection locked="0" hidden="1"/>
    </xf>
    <xf numFmtId="49" fontId="6" fillId="4" borderId="9" xfId="0" applyNumberFormat="1" applyFont="1" applyFill="1" applyBorder="1" applyAlignment="1" applyProtection="1">
      <alignment horizontal="left" vertical="center"/>
      <protection locked="0" hidden="1"/>
    </xf>
    <xf numFmtId="49" fontId="6" fillId="4" borderId="21" xfId="0" applyNumberFormat="1" applyFont="1" applyFill="1" applyBorder="1" applyAlignment="1" applyProtection="1">
      <alignment horizontal="left" vertical="center"/>
      <protection locked="0" hidden="1"/>
    </xf>
    <xf numFmtId="0" fontId="6" fillId="0" borderId="0" xfId="0" applyFont="1" applyAlignment="1" applyProtection="1">
      <alignment horizontal="right" vertical="center" wrapText="1" indent="1"/>
      <protection hidden="1"/>
    </xf>
    <xf numFmtId="0" fontId="6" fillId="0" borderId="19" xfId="0" applyFont="1" applyBorder="1" applyAlignment="1" applyProtection="1">
      <alignment horizontal="right" vertical="center" wrapText="1" indent="1"/>
      <protection hidden="1"/>
    </xf>
    <xf numFmtId="0" fontId="7" fillId="2" borderId="0" xfId="0" applyFont="1" applyFill="1" applyAlignment="1" applyProtection="1">
      <alignment horizontal="right" wrapText="1" indent="1"/>
      <protection hidden="1"/>
    </xf>
    <xf numFmtId="0" fontId="5" fillId="0" borderId="0" xfId="0" applyFont="1" applyAlignment="1">
      <alignment horizontal="right" wrapText="1" indent="1"/>
    </xf>
    <xf numFmtId="14" fontId="7" fillId="4" borderId="47" xfId="0" applyNumberFormat="1" applyFont="1" applyFill="1" applyBorder="1" applyAlignment="1" applyProtection="1">
      <alignment horizontal="center"/>
      <protection locked="0" hidden="1"/>
    </xf>
    <xf numFmtId="14" fontId="7" fillId="4" borderId="26" xfId="0" applyNumberFormat="1" applyFont="1" applyFill="1" applyBorder="1" applyAlignment="1" applyProtection="1">
      <alignment horizontal="center"/>
      <protection locked="0" hidden="1"/>
    </xf>
    <xf numFmtId="3" fontId="7" fillId="0" borderId="2" xfId="0" applyNumberFormat="1" applyFont="1" applyBorder="1" applyAlignment="1" applyProtection="1">
      <alignment horizontal="center"/>
      <protection hidden="1"/>
    </xf>
    <xf numFmtId="3" fontId="7" fillId="0" borderId="22" xfId="0" applyNumberFormat="1" applyFont="1" applyBorder="1" applyAlignment="1" applyProtection="1">
      <alignment horizontal="center"/>
      <protection hidden="1"/>
    </xf>
    <xf numFmtId="0" fontId="11" fillId="0" borderId="7" xfId="0" applyFont="1" applyBorder="1" applyAlignment="1" applyProtection="1">
      <alignment horizontal="right"/>
      <protection hidden="1"/>
    </xf>
    <xf numFmtId="3" fontId="11" fillId="0" borderId="34" xfId="0" applyNumberFormat="1" applyFont="1" applyBorder="1" applyAlignment="1" applyProtection="1">
      <alignment horizontal="right" vertical="top" wrapText="1"/>
      <protection hidden="1"/>
    </xf>
    <xf numFmtId="3" fontId="11" fillId="0" borderId="15" xfId="0" applyNumberFormat="1" applyFont="1" applyBorder="1" applyAlignment="1" applyProtection="1">
      <alignment horizontal="right" vertical="top" wrapText="1"/>
      <protection hidden="1"/>
    </xf>
    <xf numFmtId="3" fontId="7" fillId="3" borderId="34" xfId="0" applyNumberFormat="1" applyFont="1" applyFill="1" applyBorder="1" applyAlignment="1" applyProtection="1">
      <alignment horizontal="right" vertical="center"/>
      <protection hidden="1"/>
    </xf>
    <xf numFmtId="3" fontId="7" fillId="3" borderId="14" xfId="0" applyNumberFormat="1" applyFont="1" applyFill="1" applyBorder="1" applyAlignment="1" applyProtection="1">
      <alignment horizontal="right" vertical="center"/>
      <protection hidden="1"/>
    </xf>
    <xf numFmtId="0" fontId="11" fillId="0" borderId="8" xfId="0" applyFont="1" applyBorder="1" applyAlignment="1" applyProtection="1">
      <alignment horizontal="right" vertical="center" wrapText="1"/>
      <protection hidden="1"/>
    </xf>
    <xf numFmtId="0" fontId="0" fillId="0" borderId="18" xfId="0" applyBorder="1" applyAlignment="1" applyProtection="1">
      <alignment vertical="center" wrapText="1"/>
      <protection hidden="1"/>
    </xf>
    <xf numFmtId="0" fontId="0" fillId="0" borderId="0" xfId="0" applyAlignment="1" applyProtection="1">
      <alignment vertical="center" wrapText="1"/>
      <protection hidden="1"/>
    </xf>
    <xf numFmtId="0" fontId="0" fillId="0" borderId="19" xfId="0" applyBorder="1" applyAlignment="1" applyProtection="1">
      <alignment vertical="center" wrapText="1"/>
      <protection hidden="1"/>
    </xf>
    <xf numFmtId="0" fontId="7" fillId="5" borderId="49" xfId="0" applyFont="1" applyFill="1" applyBorder="1" applyAlignment="1" applyProtection="1">
      <alignment horizontal="center" vertical="center" wrapText="1"/>
      <protection hidden="1"/>
    </xf>
    <xf numFmtId="0" fontId="0" fillId="0" borderId="50" xfId="0" applyBorder="1" applyAlignment="1" applyProtection="1">
      <alignment vertical="center" wrapText="1"/>
      <protection hidden="1"/>
    </xf>
    <xf numFmtId="0" fontId="7" fillId="5" borderId="31" xfId="0" applyFont="1" applyFill="1" applyBorder="1" applyAlignment="1" applyProtection="1">
      <alignment horizontal="right" vertical="center" wrapText="1" indent="1"/>
      <protection hidden="1"/>
    </xf>
    <xf numFmtId="0" fontId="0" fillId="0" borderId="62" xfId="0" applyBorder="1" applyAlignment="1" applyProtection="1">
      <alignment horizontal="right" vertical="center" wrapText="1" indent="1"/>
      <protection hidden="1"/>
    </xf>
    <xf numFmtId="0" fontId="0" fillId="0" borderId="32" xfId="0" applyBorder="1" applyAlignment="1" applyProtection="1">
      <alignment horizontal="right" vertical="center" wrapText="1" indent="1"/>
      <protection hidden="1"/>
    </xf>
    <xf numFmtId="0" fontId="0" fillId="0" borderId="63" xfId="0" applyBorder="1" applyAlignment="1" applyProtection="1">
      <alignment horizontal="right" vertical="center" wrapText="1" indent="1"/>
      <protection hidden="1"/>
    </xf>
    <xf numFmtId="164" fontId="16" fillId="5" borderId="61" xfId="0" applyNumberFormat="1" applyFont="1" applyFill="1" applyBorder="1" applyAlignment="1" applyProtection="1">
      <alignment horizontal="right" vertical="center"/>
      <protection hidden="1"/>
    </xf>
    <xf numFmtId="0" fontId="0" fillId="0" borderId="46" xfId="0" applyBorder="1" applyAlignment="1" applyProtection="1">
      <alignment vertical="center"/>
      <protection hidden="1"/>
    </xf>
    <xf numFmtId="0" fontId="14" fillId="2" borderId="17" xfId="0" applyFont="1" applyFill="1" applyBorder="1" applyAlignment="1" applyProtection="1">
      <alignment horizontal="left" vertical="top" wrapText="1"/>
      <protection hidden="1"/>
    </xf>
    <xf numFmtId="0" fontId="48" fillId="2" borderId="8" xfId="0" applyFont="1" applyFill="1" applyBorder="1" applyAlignment="1">
      <alignment horizontal="left" vertical="top" wrapText="1"/>
    </xf>
    <xf numFmtId="0" fontId="48" fillId="2" borderId="18" xfId="0" applyFont="1" applyFill="1" applyBorder="1" applyAlignment="1">
      <alignment horizontal="left" vertical="top" wrapText="1"/>
    </xf>
    <xf numFmtId="0" fontId="48" fillId="2" borderId="11" xfId="0" applyFont="1" applyFill="1" applyBorder="1" applyAlignment="1">
      <alignment horizontal="left" vertical="top" wrapText="1"/>
    </xf>
    <xf numFmtId="0" fontId="48" fillId="2" borderId="0" xfId="0" applyFont="1" applyFill="1" applyAlignment="1">
      <alignment horizontal="left" vertical="top" wrapText="1"/>
    </xf>
    <xf numFmtId="0" fontId="48" fillId="2" borderId="19" xfId="0" applyFont="1" applyFill="1" applyBorder="1" applyAlignment="1">
      <alignment horizontal="left" vertical="top" wrapText="1"/>
    </xf>
    <xf numFmtId="0" fontId="0" fillId="0" borderId="12" xfId="0" applyBorder="1"/>
    <xf numFmtId="0" fontId="0" fillId="0" borderId="7" xfId="0" applyBorder="1"/>
    <xf numFmtId="0" fontId="0" fillId="0" borderId="10" xfId="0" applyBorder="1"/>
    <xf numFmtId="0" fontId="15" fillId="5" borderId="2" xfId="0" applyFont="1" applyFill="1" applyBorder="1" applyAlignment="1" applyProtection="1">
      <alignment horizontal="center" vertical="center" wrapText="1"/>
      <protection hidden="1"/>
    </xf>
    <xf numFmtId="0" fontId="13" fillId="0" borderId="3" xfId="0" applyFont="1" applyBorder="1" applyAlignment="1">
      <alignment vertical="center" wrapText="1"/>
    </xf>
    <xf numFmtId="0" fontId="13" fillId="0" borderId="64" xfId="0" applyFont="1" applyBorder="1" applyAlignment="1">
      <alignment vertical="center" wrapText="1"/>
    </xf>
    <xf numFmtId="0" fontId="12" fillId="0" borderId="0" xfId="0" applyFont="1" applyAlignment="1" applyProtection="1">
      <alignment horizontal="right" vertical="center" indent="1"/>
      <protection hidden="1"/>
    </xf>
    <xf numFmtId="0" fontId="90" fillId="0" borderId="0" xfId="0" applyFont="1" applyAlignment="1">
      <alignment horizontal="right" vertical="center" indent="1"/>
    </xf>
    <xf numFmtId="0" fontId="6" fillId="0" borderId="0" xfId="0" applyFont="1" applyAlignment="1" applyProtection="1">
      <alignment horizontal="right" vertical="center"/>
      <protection hidden="1"/>
    </xf>
    <xf numFmtId="0" fontId="6" fillId="0" borderId="19" xfId="0" applyFont="1" applyBorder="1" applyAlignment="1" applyProtection="1">
      <alignment horizontal="right" vertical="center"/>
      <protection hidden="1"/>
    </xf>
    <xf numFmtId="0" fontId="8" fillId="0" borderId="16" xfId="0" applyFont="1" applyBorder="1" applyAlignment="1" applyProtection="1">
      <alignment horizontal="center"/>
      <protection hidden="1"/>
    </xf>
    <xf numFmtId="0" fontId="0" fillId="0" borderId="16" xfId="0" applyBorder="1" applyAlignment="1">
      <alignment horizontal="center"/>
    </xf>
    <xf numFmtId="0" fontId="19" fillId="0" borderId="9" xfId="0" applyFont="1" applyBorder="1" applyAlignment="1" applyProtection="1">
      <alignment horizontal="center" vertical="top"/>
      <protection hidden="1"/>
    </xf>
    <xf numFmtId="0" fontId="19" fillId="0" borderId="9" xfId="0" applyFont="1" applyBorder="1" applyAlignment="1" applyProtection="1">
      <alignment horizontal="center"/>
      <protection hidden="1"/>
    </xf>
    <xf numFmtId="0" fontId="7" fillId="5" borderId="2" xfId="0" applyFont="1" applyFill="1" applyBorder="1" applyAlignment="1" applyProtection="1">
      <alignment horizontal="right" vertical="center" wrapText="1"/>
      <protection hidden="1"/>
    </xf>
    <xf numFmtId="0" fontId="0" fillId="0" borderId="3" xfId="0" applyBorder="1" applyAlignment="1" applyProtection="1">
      <alignment horizontal="right" vertical="center" wrapText="1"/>
      <protection hidden="1"/>
    </xf>
    <xf numFmtId="0" fontId="0" fillId="0" borderId="50" xfId="0" applyBorder="1" applyAlignment="1" applyProtection="1">
      <alignment horizontal="center" vertical="center" wrapText="1"/>
      <protection hidden="1"/>
    </xf>
    <xf numFmtId="0" fontId="8" fillId="44" borderId="20" xfId="0" applyFont="1" applyFill="1" applyBorder="1" applyAlignment="1" applyProtection="1">
      <alignment vertical="center"/>
      <protection locked="0"/>
    </xf>
    <xf numFmtId="0" fontId="0" fillId="44" borderId="21" xfId="0" applyFill="1" applyBorder="1" applyAlignment="1">
      <alignment vertical="center"/>
    </xf>
    <xf numFmtId="0" fontId="7" fillId="2" borderId="0" xfId="0" applyFont="1" applyFill="1" applyAlignment="1" applyProtection="1">
      <alignment horizontal="left" vertical="top" wrapText="1" indent="1"/>
      <protection hidden="1"/>
    </xf>
    <xf numFmtId="0" fontId="0" fillId="0" borderId="0" xfId="0" applyAlignment="1">
      <alignment horizontal="left" vertical="top" wrapText="1" indent="1"/>
    </xf>
    <xf numFmtId="49" fontId="7" fillId="4" borderId="20" xfId="0" applyNumberFormat="1" applyFont="1" applyFill="1" applyBorder="1" applyAlignment="1" applyProtection="1">
      <alignment horizontal="left" vertical="center"/>
      <protection hidden="1"/>
    </xf>
    <xf numFmtId="49" fontId="7" fillId="4" borderId="9" xfId="0" applyNumberFormat="1" applyFont="1" applyFill="1" applyBorder="1" applyAlignment="1" applyProtection="1">
      <alignment horizontal="left" vertical="center"/>
      <protection hidden="1"/>
    </xf>
    <xf numFmtId="49" fontId="7" fillId="4" borderId="21" xfId="0" applyNumberFormat="1" applyFont="1" applyFill="1" applyBorder="1" applyAlignment="1" applyProtection="1">
      <alignment horizontal="left" vertical="center"/>
      <protection hidden="1"/>
    </xf>
    <xf numFmtId="49" fontId="7" fillId="4" borderId="9" xfId="0" applyNumberFormat="1" applyFont="1" applyFill="1" applyBorder="1" applyAlignment="1" applyProtection="1">
      <alignment horizontal="left" vertical="center"/>
      <protection locked="0" hidden="1"/>
    </xf>
    <xf numFmtId="49" fontId="7" fillId="4" borderId="21" xfId="0" applyNumberFormat="1" applyFont="1" applyFill="1" applyBorder="1" applyAlignment="1" applyProtection="1">
      <alignment horizontal="left" vertical="center"/>
      <protection locked="0" hidden="1"/>
    </xf>
    <xf numFmtId="0" fontId="7" fillId="0" borderId="3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hidden="1"/>
    </xf>
    <xf numFmtId="49" fontId="7" fillId="4" borderId="20" xfId="0" applyNumberFormat="1" applyFont="1" applyFill="1" applyBorder="1" applyAlignment="1" applyProtection="1">
      <alignment horizontal="center" vertical="center"/>
      <protection hidden="1"/>
    </xf>
    <xf numFmtId="49" fontId="7" fillId="4" borderId="21" xfId="0" applyNumberFormat="1" applyFont="1" applyFill="1" applyBorder="1" applyAlignment="1" applyProtection="1">
      <alignment horizontal="center" vertical="center"/>
      <protection hidden="1"/>
    </xf>
    <xf numFmtId="49" fontId="7" fillId="4" borderId="24" xfId="0" applyNumberFormat="1" applyFont="1" applyFill="1" applyBorder="1" applyAlignment="1" applyProtection="1">
      <alignment horizontal="left" wrapText="1"/>
      <protection locked="0" hidden="1"/>
    </xf>
    <xf numFmtId="49" fontId="7" fillId="4" borderId="25" xfId="0" applyNumberFormat="1" applyFont="1" applyFill="1" applyBorder="1" applyAlignment="1" applyProtection="1">
      <alignment horizontal="left" wrapText="1"/>
      <protection locked="0" hidden="1"/>
    </xf>
    <xf numFmtId="49" fontId="7" fillId="4" borderId="26" xfId="0" applyNumberFormat="1" applyFont="1" applyFill="1" applyBorder="1" applyAlignment="1" applyProtection="1">
      <alignment horizontal="left" wrapText="1"/>
      <protection locked="0" hidden="1"/>
    </xf>
    <xf numFmtId="14" fontId="7" fillId="4" borderId="20" xfId="0" applyNumberFormat="1" applyFont="1" applyFill="1" applyBorder="1" applyAlignment="1" applyProtection="1">
      <alignment horizontal="center"/>
      <protection locked="0" hidden="1"/>
    </xf>
    <xf numFmtId="14" fontId="7" fillId="4" borderId="21" xfId="0" applyNumberFormat="1" applyFont="1" applyFill="1" applyBorder="1" applyAlignment="1" applyProtection="1">
      <alignment horizontal="center"/>
      <protection locked="0" hidden="1"/>
    </xf>
    <xf numFmtId="0" fontId="2" fillId="4" borderId="20" xfId="0" applyFont="1" applyFill="1" applyBorder="1" applyAlignment="1" applyProtection="1">
      <alignment horizontal="left" vertical="center"/>
      <protection locked="0" hidden="1"/>
    </xf>
    <xf numFmtId="0" fontId="0" fillId="0" borderId="9" xfId="0" applyBorder="1" applyAlignment="1" applyProtection="1">
      <alignment horizontal="left" vertical="center"/>
      <protection locked="0"/>
    </xf>
    <xf numFmtId="0" fontId="0" fillId="0" borderId="9" xfId="0" applyBorder="1" applyAlignment="1" applyProtection="1">
      <alignment vertical="center"/>
      <protection locked="0"/>
    </xf>
    <xf numFmtId="0" fontId="0" fillId="0" borderId="21" xfId="0" applyBorder="1" applyAlignment="1" applyProtection="1">
      <alignment vertical="center"/>
      <protection locked="0"/>
    </xf>
    <xf numFmtId="0" fontId="2" fillId="4" borderId="21" xfId="0" applyFont="1" applyFill="1" applyBorder="1" applyAlignment="1" applyProtection="1">
      <alignment horizontal="left" vertical="center"/>
      <protection locked="0" hidden="1"/>
    </xf>
    <xf numFmtId="0" fontId="7" fillId="0" borderId="2"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14" fontId="7" fillId="3" borderId="48" xfId="0" applyNumberFormat="1" applyFont="1" applyFill="1" applyBorder="1" applyAlignment="1" applyProtection="1">
      <alignment horizontal="center"/>
      <protection hidden="1"/>
    </xf>
    <xf numFmtId="14" fontId="7" fillId="3" borderId="29" xfId="0" applyNumberFormat="1" applyFont="1" applyFill="1" applyBorder="1" applyAlignment="1" applyProtection="1">
      <alignment horizontal="center"/>
      <protection hidden="1"/>
    </xf>
    <xf numFmtId="0" fontId="7" fillId="3" borderId="27" xfId="0" applyFont="1" applyFill="1" applyBorder="1" applyAlignment="1" applyProtection="1">
      <alignment horizontal="left"/>
      <protection hidden="1"/>
    </xf>
    <xf numFmtId="0" fontId="7" fillId="3" borderId="28" xfId="0" applyFont="1" applyFill="1" applyBorder="1" applyAlignment="1" applyProtection="1">
      <alignment horizontal="left"/>
      <protection hidden="1"/>
    </xf>
    <xf numFmtId="0" fontId="7" fillId="3" borderId="29" xfId="0" applyFont="1" applyFill="1" applyBorder="1" applyAlignment="1" applyProtection="1">
      <alignment horizontal="left"/>
      <protection hidden="1"/>
    </xf>
    <xf numFmtId="49" fontId="7" fillId="4" borderId="23" xfId="0" applyNumberFormat="1" applyFont="1" applyFill="1" applyBorder="1" applyAlignment="1" applyProtection="1">
      <alignment horizontal="left" wrapText="1"/>
      <protection locked="0" hidden="1"/>
    </xf>
    <xf numFmtId="49" fontId="7" fillId="4" borderId="9" xfId="0" applyNumberFormat="1" applyFont="1" applyFill="1" applyBorder="1" applyAlignment="1" applyProtection="1">
      <alignment horizontal="left" wrapText="1"/>
      <protection locked="0" hidden="1"/>
    </xf>
    <xf numFmtId="49" fontId="7" fillId="4" borderId="21" xfId="0" applyNumberFormat="1" applyFont="1" applyFill="1" applyBorder="1" applyAlignment="1" applyProtection="1">
      <alignment horizontal="left" wrapText="1"/>
      <protection locked="0" hidden="1"/>
    </xf>
    <xf numFmtId="0" fontId="6" fillId="0" borderId="0" xfId="0" applyFont="1" applyAlignment="1" applyProtection="1">
      <alignment horizontal="right" vertical="top" indent="1"/>
      <protection hidden="1"/>
    </xf>
    <xf numFmtId="0" fontId="6" fillId="0" borderId="19" xfId="0" applyFont="1" applyBorder="1" applyAlignment="1" applyProtection="1">
      <alignment horizontal="right" vertical="top" indent="1"/>
      <protection hidden="1"/>
    </xf>
    <xf numFmtId="0" fontId="7" fillId="0" borderId="11" xfId="0" applyFont="1" applyBorder="1" applyAlignment="1" applyProtection="1">
      <alignment horizontal="right" vertical="center"/>
      <protection hidden="1"/>
    </xf>
    <xf numFmtId="0" fontId="7" fillId="0" borderId="0" xfId="0" applyFont="1" applyAlignment="1" applyProtection="1">
      <alignment horizontal="right" vertical="center"/>
      <protection hidden="1"/>
    </xf>
    <xf numFmtId="0" fontId="8" fillId="4" borderId="20" xfId="0" applyFont="1" applyFill="1" applyBorder="1" applyAlignment="1" applyProtection="1">
      <alignment horizontal="center"/>
      <protection locked="0" hidden="1"/>
    </xf>
    <xf numFmtId="0" fontId="8" fillId="4" borderId="9" xfId="0" applyFont="1" applyFill="1" applyBorder="1" applyAlignment="1" applyProtection="1">
      <alignment horizontal="center"/>
      <protection locked="0" hidden="1"/>
    </xf>
    <xf numFmtId="0" fontId="8" fillId="4" borderId="21" xfId="0" applyFont="1" applyFill="1" applyBorder="1" applyAlignment="1" applyProtection="1">
      <alignment horizontal="center"/>
      <protection locked="0" hidden="1"/>
    </xf>
    <xf numFmtId="0" fontId="6" fillId="0" borderId="1" xfId="0" applyFont="1" applyBorder="1" applyAlignment="1" applyProtection="1">
      <alignment horizontal="center" wrapText="1"/>
      <protection hidden="1"/>
    </xf>
    <xf numFmtId="0" fontId="0" fillId="0" borderId="0" xfId="0" applyAlignment="1">
      <alignment horizontal="center" wrapText="1"/>
    </xf>
    <xf numFmtId="0" fontId="36" fillId="0" borderId="0" xfId="0" applyFont="1" applyAlignment="1" applyProtection="1">
      <alignment vertical="center" wrapText="1"/>
      <protection hidden="1"/>
    </xf>
    <xf numFmtId="0" fontId="47" fillId="0" borderId="0" xfId="0" applyFont="1" applyAlignment="1">
      <alignment vertical="center" wrapText="1"/>
    </xf>
    <xf numFmtId="0" fontId="12" fillId="0" borderId="0" xfId="0" applyFont="1" applyAlignment="1" applyProtection="1">
      <alignment horizontal="center" vertical="center"/>
      <protection hidden="1"/>
    </xf>
    <xf numFmtId="0" fontId="90" fillId="0" borderId="0" xfId="0" applyFont="1" applyAlignment="1">
      <alignment horizontal="center" vertical="center"/>
    </xf>
    <xf numFmtId="2" fontId="18" fillId="0" borderId="0" xfId="0" applyNumberFormat="1" applyFont="1" applyAlignment="1" applyProtection="1">
      <alignment horizontal="center"/>
      <protection hidden="1"/>
    </xf>
    <xf numFmtId="0" fontId="88" fillId="0" borderId="0" xfId="0" applyFont="1" applyAlignment="1">
      <alignment horizontal="center"/>
    </xf>
    <xf numFmtId="0" fontId="0" fillId="0" borderId="19" xfId="0" applyBorder="1" applyAlignment="1">
      <alignment horizontal="center"/>
    </xf>
    <xf numFmtId="0" fontId="30" fillId="56" borderId="16" xfId="0" applyFont="1" applyFill="1" applyBorder="1" applyAlignment="1">
      <alignment horizontal="left" vertical="center" wrapText="1"/>
    </xf>
    <xf numFmtId="0" fontId="30" fillId="56" borderId="33" xfId="0" applyFont="1" applyFill="1" applyBorder="1" applyAlignment="1">
      <alignment horizontal="left" vertical="center" wrapText="1"/>
    </xf>
    <xf numFmtId="0" fontId="34" fillId="56" borderId="16" xfId="0" applyFont="1" applyFill="1" applyBorder="1" applyAlignment="1">
      <alignment horizontal="center" vertical="top" wrapText="1"/>
    </xf>
    <xf numFmtId="0" fontId="60" fillId="56" borderId="16" xfId="0" applyFont="1" applyFill="1" applyBorder="1" applyAlignment="1">
      <alignment horizontal="center" vertical="top" wrapText="1"/>
    </xf>
    <xf numFmtId="0" fontId="27" fillId="56" borderId="32" xfId="0" applyFont="1" applyFill="1" applyBorder="1" applyAlignment="1" applyProtection="1">
      <alignment horizontal="left" vertical="top" indent="1"/>
      <protection hidden="1"/>
    </xf>
    <xf numFmtId="0" fontId="62" fillId="56" borderId="16" xfId="0" applyFont="1" applyFill="1" applyBorder="1" applyAlignment="1">
      <alignment horizontal="left" vertical="top" indent="1"/>
    </xf>
    <xf numFmtId="0" fontId="8" fillId="4" borderId="34" xfId="0" applyFont="1" applyFill="1" applyBorder="1" applyProtection="1">
      <protection locked="0" hidden="1"/>
    </xf>
    <xf numFmtId="0" fontId="0" fillId="0" borderId="15" xfId="0" applyBorder="1"/>
    <xf numFmtId="0" fontId="0" fillId="0" borderId="14" xfId="0" applyBorder="1"/>
    <xf numFmtId="0" fontId="18" fillId="0" borderId="8" xfId="0" applyFont="1" applyBorder="1" applyAlignment="1" applyProtection="1">
      <alignment horizontal="center" vertical="center" wrapText="1"/>
      <protection hidden="1"/>
    </xf>
    <xf numFmtId="0" fontId="0" fillId="0" borderId="8" xfId="0" applyBorder="1" applyAlignment="1">
      <alignment horizontal="center" vertical="center" wrapText="1"/>
    </xf>
    <xf numFmtId="0" fontId="19" fillId="0" borderId="0" xfId="0" applyFont="1" applyAlignment="1" applyProtection="1">
      <alignment horizontal="left" wrapText="1"/>
      <protection hidden="1"/>
    </xf>
    <xf numFmtId="0" fontId="8" fillId="0" borderId="0" xfId="0" applyFont="1" applyAlignment="1">
      <alignment horizontal="left"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2" xfId="0" applyFont="1" applyBorder="1" applyAlignment="1">
      <alignment horizontal="center" vertical="center"/>
    </xf>
    <xf numFmtId="0" fontId="48" fillId="2" borderId="2" xfId="0" applyFont="1" applyFill="1" applyBorder="1" applyAlignment="1" applyProtection="1">
      <alignment horizontal="center"/>
      <protection hidden="1"/>
    </xf>
    <xf numFmtId="0" fontId="48" fillId="2" borderId="3" xfId="0" applyFont="1" applyFill="1" applyBorder="1" applyAlignment="1" applyProtection="1">
      <alignment horizontal="center"/>
      <protection hidden="1"/>
    </xf>
    <xf numFmtId="0" fontId="48" fillId="2" borderId="22" xfId="0" applyFont="1" applyFill="1" applyBorder="1" applyAlignment="1" applyProtection="1">
      <alignment horizontal="center"/>
      <protection hidden="1"/>
    </xf>
    <xf numFmtId="0" fontId="48" fillId="2" borderId="40" xfId="0" applyFont="1" applyFill="1" applyBorder="1" applyAlignment="1" applyProtection="1">
      <alignment horizontal="left" vertical="center"/>
      <protection hidden="1"/>
    </xf>
    <xf numFmtId="0" fontId="48" fillId="2" borderId="7" xfId="0" applyFont="1" applyFill="1" applyBorder="1" applyAlignment="1" applyProtection="1">
      <alignment horizontal="left" vertical="center"/>
      <protection hidden="1"/>
    </xf>
    <xf numFmtId="0" fontId="48" fillId="2" borderId="41" xfId="0" applyFont="1" applyFill="1" applyBorder="1" applyAlignment="1" applyProtection="1">
      <alignment horizontal="left" vertical="center"/>
      <protection hidden="1"/>
    </xf>
    <xf numFmtId="0" fontId="5" fillId="0" borderId="0" xfId="0" applyFont="1" applyAlignment="1" applyProtection="1">
      <alignment wrapText="1"/>
      <protection hidden="1"/>
    </xf>
    <xf numFmtId="0" fontId="0" fillId="0" borderId="0" xfId="0" applyAlignment="1" applyProtection="1">
      <alignment wrapText="1"/>
      <protection hidden="1"/>
    </xf>
    <xf numFmtId="8" fontId="5" fillId="0" borderId="0" xfId="0" applyNumberFormat="1" applyFont="1" applyAlignment="1" applyProtection="1">
      <alignment horizontal="right" indent="2"/>
      <protection locked="0" hidden="1"/>
    </xf>
    <xf numFmtId="0" fontId="0" fillId="0" borderId="0" xfId="0" applyAlignment="1" applyProtection="1">
      <alignment horizontal="right" indent="2"/>
      <protection locked="0" hidden="1"/>
    </xf>
    <xf numFmtId="0" fontId="0" fillId="0" borderId="0" xfId="0" applyAlignment="1">
      <alignment wrapText="1"/>
    </xf>
    <xf numFmtId="0" fontId="5" fillId="0" borderId="0" xfId="0" applyFont="1" applyAlignment="1" applyProtection="1">
      <alignment horizontal="left" wrapText="1" indent="2"/>
      <protection hidden="1"/>
    </xf>
    <xf numFmtId="0" fontId="0" fillId="0" borderId="0" xfId="0" applyAlignment="1" applyProtection="1">
      <alignment horizontal="left" wrapText="1" indent="2"/>
      <protection hidden="1"/>
    </xf>
    <xf numFmtId="49" fontId="5" fillId="0" borderId="0" xfId="0" applyNumberFormat="1" applyFont="1" applyAlignment="1" applyProtection="1">
      <alignment horizontal="left" indent="2"/>
      <protection hidden="1"/>
    </xf>
    <xf numFmtId="0" fontId="5" fillId="0" borderId="0" xfId="0" applyFont="1" applyAlignment="1" applyProtection="1">
      <alignment horizontal="left" indent="2"/>
      <protection hidden="1"/>
    </xf>
    <xf numFmtId="8" fontId="5" fillId="0" borderId="0" xfId="0" applyNumberFormat="1" applyFont="1" applyProtection="1">
      <protection hidden="1"/>
    </xf>
    <xf numFmtId="8" fontId="0" fillId="0" borderId="0" xfId="0" applyNumberFormat="1" applyProtection="1">
      <protection hidden="1"/>
    </xf>
    <xf numFmtId="0" fontId="5" fillId="0" borderId="0" xfId="0" applyFont="1" applyProtection="1">
      <protection hidden="1"/>
    </xf>
    <xf numFmtId="0" fontId="88" fillId="43" borderId="47" xfId="0" applyFont="1" applyFill="1" applyBorder="1" applyAlignment="1" applyProtection="1">
      <alignment horizontal="left" vertical="center"/>
      <protection hidden="1"/>
    </xf>
    <xf numFmtId="0" fontId="88" fillId="43" borderId="25" xfId="0" applyFont="1" applyFill="1" applyBorder="1" applyAlignment="1">
      <alignment horizontal="left" vertical="center"/>
    </xf>
    <xf numFmtId="0" fontId="88" fillId="43" borderId="66" xfId="0" applyFont="1" applyFill="1" applyBorder="1" applyAlignment="1">
      <alignment horizontal="left" vertical="center"/>
    </xf>
    <xf numFmtId="0" fontId="48" fillId="55" borderId="24" xfId="0" applyFont="1" applyFill="1" applyBorder="1" applyAlignment="1" applyProtection="1">
      <alignment horizontal="left" vertical="center"/>
      <protection hidden="1"/>
    </xf>
    <xf numFmtId="0" fontId="0" fillId="55" borderId="25" xfId="0" applyFill="1" applyBorder="1" applyAlignment="1" applyProtection="1">
      <alignment horizontal="left" vertical="center"/>
      <protection hidden="1"/>
    </xf>
    <xf numFmtId="168" fontId="48" fillId="54" borderId="47" xfId="0" applyNumberFormat="1" applyFont="1" applyFill="1" applyBorder="1" applyAlignment="1" applyProtection="1">
      <alignment horizontal="center" vertical="center" wrapText="1"/>
      <protection hidden="1"/>
    </xf>
    <xf numFmtId="168" fontId="0" fillId="54" borderId="26" xfId="0" applyNumberFormat="1" applyFill="1" applyBorder="1" applyAlignment="1" applyProtection="1">
      <alignment horizontal="center" vertical="center" wrapText="1"/>
      <protection hidden="1"/>
    </xf>
    <xf numFmtId="0" fontId="48" fillId="54" borderId="48" xfId="0" applyFont="1" applyFill="1" applyBorder="1" applyAlignment="1" applyProtection="1">
      <alignment horizontal="left"/>
      <protection hidden="1"/>
    </xf>
    <xf numFmtId="0" fontId="0" fillId="54" borderId="28" xfId="0" applyFill="1" applyBorder="1"/>
    <xf numFmtId="0" fontId="0" fillId="54" borderId="94" xfId="0" applyFill="1" applyBorder="1"/>
    <xf numFmtId="0" fontId="48" fillId="54" borderId="20" xfId="0" applyFont="1" applyFill="1" applyBorder="1" applyAlignment="1" applyProtection="1">
      <alignment horizontal="left" wrapText="1"/>
      <protection hidden="1"/>
    </xf>
    <xf numFmtId="0" fontId="0" fillId="54" borderId="9" xfId="0" applyFill="1" applyBorder="1" applyAlignment="1">
      <alignment horizontal="left" wrapText="1"/>
    </xf>
    <xf numFmtId="0" fontId="0" fillId="54" borderId="37" xfId="0" applyFill="1" applyBorder="1" applyAlignment="1">
      <alignment horizontal="left" wrapText="1"/>
    </xf>
    <xf numFmtId="0" fontId="48" fillId="54" borderId="9" xfId="0" applyFont="1" applyFill="1" applyBorder="1" applyAlignment="1" applyProtection="1">
      <alignment horizontal="left"/>
      <protection hidden="1"/>
    </xf>
    <xf numFmtId="0" fontId="0" fillId="54" borderId="9" xfId="0" applyFill="1" applyBorder="1"/>
    <xf numFmtId="0" fontId="0" fillId="54" borderId="37" xfId="0" applyFill="1" applyBorder="1"/>
    <xf numFmtId="0" fontId="48" fillId="54" borderId="28" xfId="0" applyFont="1" applyFill="1" applyBorder="1" applyAlignment="1" applyProtection="1">
      <alignment horizontal="left"/>
      <protection hidden="1"/>
    </xf>
    <xf numFmtId="0" fontId="0" fillId="0" borderId="28" xfId="0" applyBorder="1"/>
    <xf numFmtId="0" fontId="0" fillId="0" borderId="94" xfId="0" applyBorder="1"/>
    <xf numFmtId="0" fontId="0" fillId="0" borderId="3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5" fillId="0" borderId="2" xfId="0" applyFont="1" applyBorder="1" applyAlignment="1" applyProtection="1">
      <alignment horizontal="center" vertical="center"/>
      <protection locked="0"/>
    </xf>
    <xf numFmtId="0" fontId="0" fillId="0" borderId="22" xfId="0" applyBorder="1" applyAlignment="1">
      <alignment horizontal="center" vertical="center"/>
    </xf>
    <xf numFmtId="1" fontId="5" fillId="0" borderId="0" xfId="0" applyNumberFormat="1" applyFont="1" applyAlignment="1" applyProtection="1">
      <alignment horizontal="left" wrapText="1" indent="2"/>
      <protection hidden="1"/>
    </xf>
    <xf numFmtId="0" fontId="0" fillId="0" borderId="0" xfId="0" applyAlignment="1">
      <alignment horizontal="left" wrapText="1"/>
    </xf>
    <xf numFmtId="0" fontId="0" fillId="0" borderId="0" xfId="0" applyAlignment="1" applyProtection="1">
      <alignment horizontal="right" vertical="center" wrapText="1" indent="2"/>
      <protection locked="0"/>
    </xf>
    <xf numFmtId="0" fontId="0" fillId="0" borderId="0" xfId="0" applyAlignment="1">
      <alignment horizontal="right" vertical="center" wrapText="1" indent="2"/>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22" xfId="0" applyFont="1" applyBorder="1" applyAlignment="1">
      <alignment horizontal="left" vertical="top" wrapText="1"/>
    </xf>
    <xf numFmtId="0" fontId="13" fillId="0" borderId="9" xfId="0" applyFont="1" applyBorder="1" applyAlignment="1">
      <alignment horizontal="right" indent="3"/>
    </xf>
    <xf numFmtId="0" fontId="0" fillId="0" borderId="21" xfId="0" applyBorder="1" applyAlignment="1">
      <alignment horizontal="right" indent="3"/>
    </xf>
    <xf numFmtId="0" fontId="44" fillId="45" borderId="96" xfId="3" applyFont="1" applyFill="1" applyBorder="1" applyAlignment="1" applyProtection="1">
      <alignment horizontal="center" vertical="center" wrapText="1"/>
      <protection hidden="1"/>
    </xf>
    <xf numFmtId="0" fontId="0" fillId="45" borderId="97" xfId="0" applyFill="1" applyBorder="1" applyAlignment="1" applyProtection="1">
      <alignment horizontal="center" vertical="center" wrapText="1"/>
      <protection hidden="1"/>
    </xf>
    <xf numFmtId="0" fontId="0" fillId="45" borderId="98" xfId="0" applyFill="1" applyBorder="1" applyAlignment="1" applyProtection="1">
      <alignment horizontal="center" vertical="center" wrapText="1"/>
      <protection hidden="1"/>
    </xf>
    <xf numFmtId="8" fontId="0" fillId="4" borderId="0" xfId="0" applyNumberFormat="1" applyFill="1" applyAlignment="1">
      <alignment horizontal="center"/>
    </xf>
    <xf numFmtId="0" fontId="0" fillId="4" borderId="0" xfId="0" applyFill="1" applyAlignment="1">
      <alignment horizontal="center"/>
    </xf>
    <xf numFmtId="39" fontId="44" fillId="45" borderId="2" xfId="0" applyNumberFormat="1" applyFont="1" applyFill="1" applyBorder="1" applyAlignment="1" applyProtection="1">
      <alignment horizontal="center"/>
      <protection hidden="1"/>
    </xf>
    <xf numFmtId="0" fontId="44" fillId="0" borderId="3" xfId="0" applyFont="1" applyBorder="1" applyAlignment="1">
      <alignment horizontal="center"/>
    </xf>
    <xf numFmtId="0" fontId="44" fillId="0" borderId="22" xfId="0" applyFont="1" applyBorder="1" applyAlignment="1">
      <alignment horizontal="center"/>
    </xf>
    <xf numFmtId="0" fontId="44" fillId="46" borderId="27" xfId="0" applyFont="1" applyFill="1" applyBorder="1" applyAlignment="1" applyProtection="1">
      <alignment horizontal="center" wrapText="1"/>
      <protection hidden="1"/>
    </xf>
    <xf numFmtId="0" fontId="0" fillId="46" borderId="28" xfId="0" applyFill="1" applyBorder="1" applyAlignment="1" applyProtection="1">
      <alignment horizontal="center" wrapText="1"/>
      <protection hidden="1"/>
    </xf>
    <xf numFmtId="0" fontId="0" fillId="46" borderId="28" xfId="0" applyFill="1" applyBorder="1" applyProtection="1">
      <protection hidden="1"/>
    </xf>
    <xf numFmtId="0" fontId="0" fillId="46" borderId="94" xfId="0" applyFill="1" applyBorder="1" applyProtection="1">
      <protection hidden="1"/>
    </xf>
    <xf numFmtId="0" fontId="5" fillId="41" borderId="27" xfId="0" applyFont="1" applyFill="1" applyBorder="1" applyAlignment="1" applyProtection="1">
      <alignment horizontal="center"/>
      <protection hidden="1"/>
    </xf>
    <xf numFmtId="0" fontId="5" fillId="0" borderId="28" xfId="0" applyFont="1" applyBorder="1" applyAlignment="1" applyProtection="1">
      <alignment horizontal="center"/>
      <protection hidden="1"/>
    </xf>
    <xf numFmtId="0" fontId="5" fillId="0" borderId="94" xfId="0" applyFont="1" applyBorder="1" applyAlignment="1" applyProtection="1">
      <alignment horizontal="center"/>
      <protection hidden="1"/>
    </xf>
    <xf numFmtId="0" fontId="92" fillId="3" borderId="0" xfId="0" applyFont="1" applyFill="1" applyAlignment="1" applyProtection="1">
      <alignment vertical="center" wrapText="1"/>
      <protection hidden="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1" xr:uid="{00000000-0005-0000-0000-00001B000000}"/>
    <cellStyle name="Comma 3" xfId="4" xr:uid="{00000000-0005-0000-0000-00001C000000}"/>
    <cellStyle name="Currency 2" xfId="2" xr:uid="{00000000-0005-0000-0000-00001E000000}"/>
    <cellStyle name="Currency 3" xfId="5" xr:uid="{00000000-0005-0000-0000-00001F000000}"/>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xr:uid="{00000000-0005-0000-0000-00002A000000}"/>
    <cellStyle name="Normal_CityTownByRegionArea" xfId="47" xr:uid="{0786C75E-EB93-4B3A-8A6B-8E658FF1E2B0}"/>
    <cellStyle name="Note" xfId="20" builtinId="10" customBuiltin="1"/>
    <cellStyle name="Output" xfId="15" builtinId="21" customBuiltin="1"/>
    <cellStyle name="Title" xfId="6" builtinId="15" customBuiltin="1"/>
    <cellStyle name="Total" xfId="22" builtinId="25" customBuiltin="1"/>
    <cellStyle name="Warning Text" xfId="19" builtinId="11" customBuiltin="1"/>
  </cellStyles>
  <dxfs count="20">
    <dxf>
      <fill>
        <patternFill>
          <bgColor rgb="FFFFFFCC"/>
        </patternFill>
      </fill>
      <border>
        <left style="thin">
          <color auto="1"/>
        </left>
        <right style="thin">
          <color auto="1"/>
        </right>
        <top style="thin">
          <color auto="1"/>
        </top>
        <bottom style="thin">
          <color auto="1"/>
        </bottom>
      </border>
    </dxf>
    <dxf>
      <fill>
        <patternFill>
          <bgColor rgb="FFFFCCFF"/>
        </patternFill>
      </fill>
    </dxf>
    <dxf>
      <numFmt numFmtId="172" formatCode=";;;"/>
    </dxf>
    <dxf>
      <numFmt numFmtId="172" formatCode=";;;"/>
      <fill>
        <patternFill patternType="none">
          <bgColor auto="1"/>
        </patternFill>
      </fill>
    </dxf>
    <dxf>
      <border>
        <left style="thin">
          <color auto="1"/>
        </left>
        <top/>
        <vertical/>
        <horizontal/>
      </border>
    </dxf>
    <dxf>
      <font>
        <strike/>
      </font>
    </dxf>
    <dxf>
      <font>
        <strike val="0"/>
      </font>
      <border>
        <left/>
        <bottom/>
        <vertical/>
        <horizontal/>
      </border>
    </dxf>
    <dxf>
      <font>
        <strike/>
      </font>
      <border>
        <left style="thin">
          <color auto="1"/>
        </left>
        <vertical/>
        <horizontal/>
      </border>
    </dxf>
    <dxf>
      <font>
        <strike val="0"/>
        <color auto="1"/>
      </font>
    </dxf>
    <dxf>
      <font>
        <strike/>
        <color rgb="FFFF0000"/>
      </font>
    </dxf>
    <dxf>
      <font>
        <color auto="1"/>
      </font>
      <fill>
        <patternFill>
          <bgColor theme="3" tint="0.79998168889431442"/>
        </patternFill>
      </fill>
      <border>
        <left style="thin">
          <color auto="1"/>
        </left>
        <right style="thin">
          <color auto="1"/>
        </right>
        <top style="thin">
          <color auto="1"/>
        </top>
        <bottom style="thin">
          <color auto="1"/>
        </bottom>
        <vertical/>
        <horizontal/>
      </border>
    </dxf>
    <dxf>
      <border>
        <right/>
        <top/>
        <vertical/>
        <horizontal/>
      </border>
    </dxf>
    <dxf>
      <font>
        <color rgb="FFFF0000"/>
      </font>
    </dxf>
    <dxf>
      <font>
        <color theme="0" tint="-0.499984740745262"/>
      </font>
      <fill>
        <patternFill>
          <bgColor theme="0" tint="-4.9989318521683403E-2"/>
        </patternFill>
      </fill>
      <border>
        <left style="dotted">
          <color auto="1"/>
        </left>
        <right style="dotted">
          <color auto="1"/>
        </right>
        <bottom style="dotted">
          <color auto="1"/>
        </bottom>
      </border>
    </dxf>
    <dxf>
      <font>
        <b/>
        <i val="0"/>
        <color auto="1"/>
      </font>
    </dxf>
    <dxf>
      <fill>
        <patternFill>
          <bgColor theme="4" tint="0.79998168889431442"/>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scheme val="minor"/>
      </font>
      <numFmt numFmtId="30" formatCode="@"/>
      <protection locked="1" hidden="1"/>
    </dxf>
    <dxf>
      <font>
        <b val="0"/>
        <i val="0"/>
        <strike val="0"/>
        <condense val="0"/>
        <extend val="0"/>
        <outline val="0"/>
        <shadow val="0"/>
        <u val="none"/>
        <vertAlign val="baseline"/>
        <sz val="12"/>
        <color theme="1"/>
        <name val="Calibri"/>
        <scheme val="minor"/>
      </font>
      <protection locked="1" hidden="1"/>
    </dxf>
    <dxf>
      <font>
        <b val="0"/>
        <i val="0"/>
        <strike val="0"/>
        <condense val="0"/>
        <extend val="0"/>
        <outline val="0"/>
        <shadow val="0"/>
        <u val="none"/>
        <vertAlign val="baseline"/>
        <sz val="12"/>
        <color theme="1"/>
        <name val="Calibri"/>
        <scheme val="minor"/>
      </font>
      <protection locked="1" hidden="1"/>
    </dxf>
    <dxf>
      <font>
        <b/>
        <i val="0"/>
        <strike val="0"/>
        <condense val="0"/>
        <extend val="0"/>
        <outline val="0"/>
        <shadow val="0"/>
        <u val="none"/>
        <vertAlign val="baseline"/>
        <sz val="11"/>
        <color theme="0" tint="-0.14999847407452621"/>
        <name val="Calibri"/>
        <scheme val="minor"/>
      </font>
      <protection locked="1" hidden="1"/>
    </dxf>
  </dxfs>
  <tableStyles count="0" defaultTableStyle="TableStyleMedium2" defaultPivotStyle="PivotStyleLight16"/>
  <colors>
    <mruColors>
      <color rgb="FFFFFFCC"/>
      <color rgb="FFFFFF99"/>
      <color rgb="FFB7E7C7"/>
      <color rgb="FFFF7DFF"/>
      <color rgb="FFFFB3FF"/>
      <color rgb="FFFFCCFF"/>
      <color rgb="FF009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MedicalIntensity" lockText="1" noThreeD="1"/>
</file>

<file path=xl/ctrlProps/ctrlProp10.xml><?xml version="1.0" encoding="utf-8"?>
<formControlPr xmlns="http://schemas.microsoft.com/office/spreadsheetml/2009/9/main" objectType="CheckBox" fmlaLink="Lease" noThreeD="1"/>
</file>

<file path=xl/ctrlProps/ctrlProp11.xml><?xml version="1.0" encoding="utf-8"?>
<formControlPr xmlns="http://schemas.microsoft.com/office/spreadsheetml/2009/9/main" objectType="CheckBox" fmlaLink="CapitalLease" noThreeD="1"/>
</file>

<file path=xl/ctrlProps/ctrlProp12.xml><?xml version="1.0" encoding="utf-8"?>
<formControlPr xmlns="http://schemas.microsoft.com/office/spreadsheetml/2009/9/main" objectType="CheckBox" fmlaLink="CEDACAPPLIED" noThreeD="1"/>
</file>

<file path=xl/ctrlProps/ctrlProp13.xml><?xml version="1.0" encoding="utf-8"?>
<formControlPr xmlns="http://schemas.microsoft.com/office/spreadsheetml/2009/9/main" objectType="Radio" checked="Checked" firstButton="1" fmlaLink="ContractType"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BehavioralIntensity" lockText="1" noThreeD="1"/>
</file>

<file path=xl/ctrlProps/ctrlProp3.xml><?xml version="1.0" encoding="utf-8"?>
<formControlPr xmlns="http://schemas.microsoft.com/office/spreadsheetml/2009/9/main" objectType="CheckBox" fmlaLink="A177" lockText="1" noThreeD="1"/>
</file>

<file path=xl/ctrlProps/ctrlProp4.xml><?xml version="1.0" encoding="utf-8"?>
<formControlPr xmlns="http://schemas.microsoft.com/office/spreadsheetml/2009/9/main" objectType="CheckBox" fmlaLink="A178" lockText="1" noThreeD="1"/>
</file>

<file path=xl/ctrlProps/ctrlProp5.xml><?xml version="1.0" encoding="utf-8"?>
<formControlPr xmlns="http://schemas.microsoft.com/office/spreadsheetml/2009/9/main" objectType="CheckBox" fmlaLink="RelatedPartyYes" lockText="1" noThreeD="1"/>
</file>

<file path=xl/ctrlProps/ctrlProp6.xml><?xml version="1.0" encoding="utf-8"?>
<formControlPr xmlns="http://schemas.microsoft.com/office/spreadsheetml/2009/9/main" objectType="CheckBox" fmlaLink="RelatedPartyNo" lockText="1" noThreeD="1"/>
</file>

<file path=xl/ctrlProps/ctrlProp7.xml><?xml version="1.0" encoding="utf-8"?>
<formControlPr xmlns="http://schemas.microsoft.com/office/spreadsheetml/2009/9/main" objectType="CheckBox" fmlaLink="MoveInPending" lockText="1" noThreeD="1"/>
</file>

<file path=xl/ctrlProps/ctrlProp8.xml><?xml version="1.0" encoding="utf-8"?>
<formControlPr xmlns="http://schemas.microsoft.com/office/spreadsheetml/2009/9/main" objectType="CheckBox" fmlaLink="MoveInCompleted" lockText="1" noThreeD="1"/>
</file>

<file path=xl/ctrlProps/ctrlProp9.xml><?xml version="1.0" encoding="utf-8"?>
<formControlPr xmlns="http://schemas.microsoft.com/office/spreadsheetml/2009/9/main" objectType="CheckBox" fmlaLink="Purchase"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61415</xdr:colOff>
          <xdr:row>8</xdr:row>
          <xdr:rowOff>232012</xdr:rowOff>
        </xdr:from>
        <xdr:to>
          <xdr:col>73</xdr:col>
          <xdr:colOff>266131</xdr:colOff>
          <xdr:row>8</xdr:row>
          <xdr:rowOff>286603</xdr:rowOff>
        </xdr:to>
        <xdr:sp macro="" textlink="">
          <xdr:nvSpPr>
            <xdr:cNvPr id="3140" name="chkMedicalIntensity"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Medical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40943</xdr:colOff>
          <xdr:row>8</xdr:row>
          <xdr:rowOff>116006</xdr:rowOff>
        </xdr:from>
        <xdr:to>
          <xdr:col>73</xdr:col>
          <xdr:colOff>593678</xdr:colOff>
          <xdr:row>8</xdr:row>
          <xdr:rowOff>184245</xdr:rowOff>
        </xdr:to>
        <xdr:sp macro="" textlink="">
          <xdr:nvSpPr>
            <xdr:cNvPr id="3141" name="chkBehavIntensive"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Behaviorally Intensive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47767</xdr:colOff>
          <xdr:row>22</xdr:row>
          <xdr:rowOff>27296</xdr:rowOff>
        </xdr:from>
        <xdr:to>
          <xdr:col>8</xdr:col>
          <xdr:colOff>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122830</xdr:colOff>
          <xdr:row>22</xdr:row>
          <xdr:rowOff>68239</xdr:rowOff>
        </xdr:from>
        <xdr:to>
          <xdr:col>6</xdr:col>
          <xdr:colOff>6824</xdr:colOff>
          <xdr:row>23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Existing Structure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68239</xdr:colOff>
          <xdr:row>19</xdr:row>
          <xdr:rowOff>68239</xdr:rowOff>
        </xdr:from>
        <xdr:to>
          <xdr:col>12</xdr:col>
          <xdr:colOff>457200</xdr:colOff>
          <xdr:row>20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566382</xdr:colOff>
          <xdr:row>19</xdr:row>
          <xdr:rowOff>47767</xdr:rowOff>
        </xdr:from>
        <xdr:to>
          <xdr:col>12</xdr:col>
          <xdr:colOff>1037230</xdr:colOff>
          <xdr:row>20</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79131</xdr:colOff>
          <xdr:row>22</xdr:row>
          <xdr:rowOff>7328</xdr:rowOff>
        </xdr:from>
        <xdr:to>
          <xdr:col>12</xdr:col>
          <xdr:colOff>434487</xdr:colOff>
          <xdr:row>23</xdr:row>
          <xdr:rowOff>1</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8793227" y="4088009"/>
              <a:ext cx="2641356" cy="258804"/>
              <a:chOff x="9296391" y="3648809"/>
              <a:chExt cx="2428895" cy="256442"/>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9296391" y="3648809"/>
                <a:ext cx="962025" cy="256442"/>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 Pending</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10763261" y="3648809"/>
                <a:ext cx="962025" cy="256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Completed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240796</xdr:colOff>
          <xdr:row>19</xdr:row>
          <xdr:rowOff>16852</xdr:rowOff>
        </xdr:from>
        <xdr:to>
          <xdr:col>7</xdr:col>
          <xdr:colOff>525082</xdr:colOff>
          <xdr:row>19</xdr:row>
          <xdr:rowOff>254977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3700503" y="3449264"/>
              <a:ext cx="2972895" cy="238125"/>
              <a:chOff x="3546522" y="2930381"/>
              <a:chExt cx="2928878" cy="238125"/>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3546522" y="2930381"/>
                <a:ext cx="88040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Purchase</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4566407" y="2930381"/>
                <a:ext cx="88040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Lease</a:t>
                </a:r>
              </a:p>
            </xdr:txBody>
          </xdr:sp>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5594988" y="2930381"/>
                <a:ext cx="8804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Capital Lease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6824</xdr:colOff>
          <xdr:row>31</xdr:row>
          <xdr:rowOff>47767</xdr:rowOff>
        </xdr:from>
        <xdr:to>
          <xdr:col>12</xdr:col>
          <xdr:colOff>1146412</xdr:colOff>
          <xdr:row>32</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100" b="0" i="0" u="none" strike="noStrike" baseline="0">
                  <a:solidFill>
                    <a:srgbClr val="000000"/>
                  </a:solidFill>
                  <a:latin typeface="Calibri"/>
                  <a:ea typeface="Calibri"/>
                  <a:cs typeface="Calibri"/>
                </a:rPr>
                <a:t>Applied or Intend to apply for FCF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1018760</xdr:colOff>
          <xdr:row>7</xdr:row>
          <xdr:rowOff>1242</xdr:rowOff>
        </xdr:from>
        <xdr:to>
          <xdr:col>12</xdr:col>
          <xdr:colOff>1076739</xdr:colOff>
          <xdr:row>15</xdr:row>
          <xdr:rowOff>124239</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10954330" y="1147654"/>
              <a:ext cx="1122505" cy="1672018"/>
              <a:chOff x="10870509" y="1238252"/>
              <a:chExt cx="1023322" cy="1296043"/>
            </a:xfrm>
          </xdr:grpSpPr>
          <xdr:sp macro="" textlink="">
            <xdr:nvSpPr>
              <xdr:cNvPr id="3134" name="optContrMCB"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10870509" y="2125996"/>
                <a:ext cx="1023315"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MCB</a:t>
                </a:r>
              </a:p>
            </xdr:txBody>
          </xdr:sp>
          <xdr:sp macro="" textlink="">
            <xdr:nvSpPr>
              <xdr:cNvPr id="3135" name="optContrMRC"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10870509" y="2315220"/>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MRC</a:t>
                </a:r>
              </a:p>
            </xdr:txBody>
          </xdr:sp>
          <xdr:sp macro="" textlink="">
            <xdr:nvSpPr>
              <xdr:cNvPr id="3130" name="optContr3153"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10870515" y="1238252"/>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DDS ID 3153</a:t>
                </a:r>
              </a:p>
            </xdr:txBody>
          </xdr:sp>
          <xdr:sp macro="" textlink="">
            <xdr:nvSpPr>
              <xdr:cNvPr id="3131" name="optContrABI"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10870515" y="1427478"/>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DDS ABI 3751</a:t>
                </a:r>
              </a:p>
            </xdr:txBody>
          </xdr:sp>
          <xdr:sp macro="" textlink="">
            <xdr:nvSpPr>
              <xdr:cNvPr id="3132" name="optContrEmerg"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10870514" y="1616705"/>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DDS Emerg. 3182</a:t>
                </a:r>
              </a:p>
            </xdr:txBody>
          </xdr:sp>
          <xdr:sp macro="" textlink="">
            <xdr:nvSpPr>
              <xdr:cNvPr id="3133" name="optContrRespite"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10870510" y="1936769"/>
                <a:ext cx="1023316" cy="219075"/>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DDS Other</a:t>
                </a:r>
              </a:p>
            </xdr:txBody>
          </xdr:sp>
          <xdr:sp macro="" textlink="">
            <xdr:nvSpPr>
              <xdr:cNvPr id="3137" name="optContrEmerg"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10870512" y="1805933"/>
                <a:ext cx="1023315" cy="160683"/>
              </a:xfrm>
              <a:prstGeom prst="rect">
                <a:avLst/>
              </a:prstGeom>
              <a:noFill/>
              <a:ln>
                <a:noFill/>
              </a:ln>
              <a:extLst>
                <a:ext uri="{909E8E84-426E-40DD-AFC4-6F175D3DCCD1}">
                  <a14:hiddenFill>
                    <a:solidFill>
                      <a:srgbClr val="CCECFF"/>
                    </a:solidFill>
                  </a14:hiddenFill>
                </a:ext>
                <a:ext uri="{91240B29-F687-4F45-9708-019B960494DF}">
                  <a14:hiddenLine w="3175">
                    <a:solidFill>
                      <a:srgbClr val="000000" mc:Ignorable="a14" a14:legacySpreadsheetColorIndex="64"/>
                    </a:solidFill>
                    <a:miter lim="800000"/>
                    <a:headEnd/>
                    <a:tailEnd/>
                  </a14:hiddenLine>
                </a:ext>
              </a:extLst>
            </xdr:spPr>
            <xdr:txBody>
              <a:bodyPr vertOverflow="clip" wrap="square" lIns="27432" tIns="32004" rIns="0" bIns="32004" anchor="ctr" upright="1"/>
              <a:lstStyle/>
              <a:p>
                <a:pPr algn="l" rtl="0">
                  <a:defRPr sz="1000"/>
                </a:pPr>
                <a:r>
                  <a:rPr lang="en-US" sz="800" b="0" i="0" u="none" strike="noStrike" baseline="0">
                    <a:solidFill>
                      <a:srgbClr val="000000"/>
                    </a:solidFill>
                    <a:latin typeface="Segoe UI"/>
                    <a:cs typeface="Segoe UI"/>
                  </a:rPr>
                  <a:t>DDS Respite 3759</a:t>
                </a:r>
              </a:p>
            </xdr:txBody>
          </xdr:sp>
        </xdr:grp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K26:L29" totalsRowShown="0" headerRowDxfId="19" dataDxfId="18">
  <tableColumns count="2">
    <tableColumn id="1" xr3:uid="{00000000-0010-0000-0000-000001000000}" name="Site Type Display" dataDxfId="17"/>
    <tableColumn id="2" xr3:uid="{00000000-0010-0000-0000-000002000000}" name="DataVal" dataDxfId="1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www.mass.gov/courts/case-legal-res/law-lib/laws-by-source/cmr/800-899cmr/808cmr.html"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BS47"/>
  <sheetViews>
    <sheetView topLeftCell="A15" zoomScaleNormal="100" workbookViewId="0">
      <selection activeCell="B6" sqref="B6:E6"/>
    </sheetView>
  </sheetViews>
  <sheetFormatPr defaultColWidth="9.09765625" defaultRowHeight="15.6" x14ac:dyDescent="0.35"/>
  <cols>
    <col min="1" max="1" width="4.59765625" style="176" customWidth="1"/>
    <col min="2" max="2" width="6" style="176" customWidth="1"/>
    <col min="3" max="3" width="5.59765625" style="177" customWidth="1"/>
    <col min="4" max="4" width="6" style="177" customWidth="1"/>
    <col min="5" max="5" width="129.8984375" style="177" customWidth="1"/>
    <col min="6" max="6" width="6.59765625" style="176" customWidth="1"/>
    <col min="7" max="11" width="9.09765625" style="176"/>
    <col min="12" max="13" width="24" style="176" customWidth="1"/>
    <col min="14" max="14" width="9.09765625" style="176"/>
    <col min="15" max="15" width="52.8984375" style="176" customWidth="1"/>
    <col min="16" max="16384" width="9.09765625" style="176"/>
  </cols>
  <sheetData>
    <row r="1" spans="1:71" x14ac:dyDescent="0.35">
      <c r="B1" s="177"/>
      <c r="E1" s="176"/>
    </row>
    <row r="2" spans="1:71" ht="15.75" customHeight="1" x14ac:dyDescent="0.35">
      <c r="A2" s="489" t="s">
        <v>877</v>
      </c>
      <c r="B2" s="490"/>
      <c r="C2" s="490"/>
      <c r="D2" s="490"/>
      <c r="E2" s="490"/>
    </row>
    <row r="3" spans="1:71" ht="15.75" customHeight="1" x14ac:dyDescent="0.35">
      <c r="A3" s="491"/>
      <c r="B3" s="490"/>
      <c r="C3" s="490"/>
      <c r="D3" s="490"/>
      <c r="E3" s="490"/>
    </row>
    <row r="4" spans="1:71" ht="15.75" customHeight="1" x14ac:dyDescent="0.35">
      <c r="A4" s="489" t="s">
        <v>564</v>
      </c>
      <c r="B4" s="490"/>
      <c r="C4" s="490"/>
      <c r="D4" s="490"/>
      <c r="E4" s="490"/>
    </row>
    <row r="5" spans="1:71" ht="7.55" customHeight="1" x14ac:dyDescent="0.35">
      <c r="A5" s="492"/>
      <c r="B5" s="493"/>
      <c r="C5" s="493"/>
      <c r="D5" s="493"/>
      <c r="E5" s="493"/>
    </row>
    <row r="6" spans="1:71" ht="24.6" customHeight="1" x14ac:dyDescent="0.35">
      <c r="B6" s="496" t="s">
        <v>878</v>
      </c>
      <c r="C6" s="496"/>
      <c r="D6" s="496"/>
      <c r="E6" s="496"/>
    </row>
    <row r="7" spans="1:71" ht="15.05" customHeight="1" x14ac:dyDescent="0.35">
      <c r="B7" s="497" t="str">
        <f>Version</f>
        <v>ORA version FY25_v10_02.03</v>
      </c>
      <c r="C7" s="497"/>
      <c r="D7" s="497"/>
      <c r="E7" s="497"/>
    </row>
    <row r="9" spans="1:71" ht="28.5" customHeight="1" x14ac:dyDescent="0.35">
      <c r="B9" s="430" t="s">
        <v>565</v>
      </c>
      <c r="C9" s="431"/>
      <c r="D9" s="432"/>
      <c r="E9" s="433"/>
    </row>
    <row r="10" spans="1:71" ht="39.799999999999997" customHeight="1" x14ac:dyDescent="0.35">
      <c r="B10" s="374" t="s">
        <v>82</v>
      </c>
      <c r="C10" s="494" t="s">
        <v>879</v>
      </c>
      <c r="D10" s="494"/>
      <c r="E10" s="495"/>
    </row>
    <row r="11" spans="1:71" s="375" customFormat="1" ht="18.8" customHeight="1" x14ac:dyDescent="0.35">
      <c r="B11" s="374" t="s">
        <v>82</v>
      </c>
      <c r="C11" s="472" t="s">
        <v>783</v>
      </c>
      <c r="D11" s="473"/>
      <c r="E11" s="474"/>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row>
    <row r="12" spans="1:71" ht="18.8" customHeight="1" x14ac:dyDescent="0.35">
      <c r="B12" s="178" t="s">
        <v>82</v>
      </c>
      <c r="C12" s="479" t="s">
        <v>776</v>
      </c>
      <c r="D12" s="479"/>
      <c r="E12" s="480"/>
    </row>
    <row r="13" spans="1:71" ht="34.549999999999997" customHeight="1" x14ac:dyDescent="0.35">
      <c r="B13" s="178" t="s">
        <v>82</v>
      </c>
      <c r="C13" s="479" t="s">
        <v>777</v>
      </c>
      <c r="D13" s="479"/>
      <c r="E13" s="480"/>
    </row>
    <row r="14" spans="1:71" ht="2.95" customHeight="1" x14ac:dyDescent="0.35">
      <c r="B14" s="178"/>
      <c r="C14" s="479"/>
      <c r="D14" s="479"/>
      <c r="E14" s="480"/>
    </row>
    <row r="15" spans="1:71" s="375" customFormat="1" ht="34.549999999999997" customHeight="1" x14ac:dyDescent="0.35">
      <c r="B15" s="376" t="s">
        <v>82</v>
      </c>
      <c r="C15" s="481" t="s">
        <v>880</v>
      </c>
      <c r="D15" s="481"/>
      <c r="E15" s="482"/>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row>
    <row r="16" spans="1:71" s="375" customFormat="1" ht="11.95" customHeight="1" x14ac:dyDescent="0.35">
      <c r="B16" s="377"/>
      <c r="C16" s="378"/>
      <c r="D16" s="378"/>
      <c r="E16" s="378"/>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row>
    <row r="17" spans="2:21" ht="8.1999999999999993" customHeight="1" x14ac:dyDescent="0.35"/>
    <row r="18" spans="2:21" ht="30.8" customHeight="1" x14ac:dyDescent="0.35">
      <c r="B18" s="430" t="s">
        <v>101</v>
      </c>
      <c r="C18" s="431"/>
      <c r="D18" s="434"/>
      <c r="E18" s="433"/>
      <c r="G18" s="435"/>
    </row>
    <row r="19" spans="2:21" ht="50.25" customHeight="1" x14ac:dyDescent="0.35">
      <c r="B19" s="218" t="s">
        <v>1</v>
      </c>
      <c r="C19" s="477" t="s">
        <v>881</v>
      </c>
      <c r="D19" s="477"/>
      <c r="E19" s="478"/>
      <c r="G19" s="436"/>
    </row>
    <row r="20" spans="2:21" ht="87.6" customHeight="1" x14ac:dyDescent="0.35">
      <c r="B20" s="218" t="s">
        <v>2</v>
      </c>
      <c r="C20" s="487" t="s">
        <v>882</v>
      </c>
      <c r="D20" s="487"/>
      <c r="E20" s="488"/>
    </row>
    <row r="21" spans="2:21" ht="63" customHeight="1" x14ac:dyDescent="0.35">
      <c r="B21" s="218" t="s">
        <v>9</v>
      </c>
      <c r="C21" s="477" t="s">
        <v>883</v>
      </c>
      <c r="D21" s="485"/>
      <c r="E21" s="486"/>
    </row>
    <row r="22" spans="2:21" ht="79.25" customHeight="1" x14ac:dyDescent="0.35">
      <c r="B22" s="218" t="s">
        <v>10</v>
      </c>
      <c r="C22" s="477" t="s">
        <v>884</v>
      </c>
      <c r="D22" s="477"/>
      <c r="E22" s="478"/>
      <c r="J22" s="179"/>
      <c r="M22" s="179"/>
      <c r="P22" s="179"/>
    </row>
    <row r="23" spans="2:21" ht="80.5" customHeight="1" x14ac:dyDescent="0.35">
      <c r="B23" s="218" t="s">
        <v>11</v>
      </c>
      <c r="C23" s="483" t="s">
        <v>889</v>
      </c>
      <c r="D23" s="483"/>
      <c r="E23" s="484"/>
    </row>
    <row r="24" spans="2:21" ht="166.6" customHeight="1" x14ac:dyDescent="0.35">
      <c r="B24" s="437" t="s">
        <v>12</v>
      </c>
      <c r="C24" s="475" t="s">
        <v>885</v>
      </c>
      <c r="D24" s="475"/>
      <c r="E24" s="476"/>
    </row>
    <row r="25" spans="2:21" ht="54.8" customHeight="1" x14ac:dyDescent="0.35">
      <c r="B25" s="219" t="s">
        <v>14</v>
      </c>
      <c r="C25" s="475" t="s">
        <v>886</v>
      </c>
      <c r="D25" s="475"/>
      <c r="E25" s="476"/>
    </row>
    <row r="26" spans="2:21" ht="38.950000000000003" customHeight="1" x14ac:dyDescent="0.35">
      <c r="B26" s="437" t="s">
        <v>72</v>
      </c>
      <c r="C26" s="477" t="s">
        <v>887</v>
      </c>
      <c r="D26" s="477"/>
      <c r="E26" s="478"/>
      <c r="F26" s="180"/>
      <c r="G26" s="180"/>
      <c r="H26" s="180"/>
      <c r="I26" s="180"/>
    </row>
    <row r="27" spans="2:21" ht="57.65" customHeight="1" x14ac:dyDescent="0.35">
      <c r="B27" s="437" t="s">
        <v>102</v>
      </c>
      <c r="C27" s="477" t="s">
        <v>888</v>
      </c>
      <c r="D27" s="477"/>
      <c r="E27" s="478"/>
    </row>
    <row r="28" spans="2:21" ht="20.95" customHeight="1" x14ac:dyDescent="0.35">
      <c r="B28" s="182"/>
    </row>
    <row r="29" spans="2:21" ht="47.95" customHeight="1" x14ac:dyDescent="0.35">
      <c r="B29" s="182"/>
      <c r="J29" s="181"/>
    </row>
    <row r="30" spans="2:21" ht="54" customHeight="1" x14ac:dyDescent="0.35">
      <c r="B30" s="182"/>
      <c r="E30" s="301"/>
    </row>
    <row r="31" spans="2:21" ht="46.5" customHeight="1" x14ac:dyDescent="0.35">
      <c r="B31" s="182"/>
    </row>
    <row r="32" spans="2:21" ht="108.8" customHeight="1" x14ac:dyDescent="0.35">
      <c r="B32" s="182"/>
      <c r="F32" s="180"/>
      <c r="G32" s="180"/>
      <c r="H32" s="180"/>
      <c r="I32" s="180"/>
      <c r="J32" s="180"/>
      <c r="K32" s="180"/>
      <c r="L32" s="180"/>
      <c r="M32" s="180"/>
      <c r="N32" s="180"/>
      <c r="O32" s="180"/>
      <c r="P32" s="180"/>
      <c r="Q32" s="180"/>
      <c r="R32" s="180"/>
      <c r="S32" s="180"/>
      <c r="T32" s="180"/>
      <c r="U32" s="180"/>
    </row>
    <row r="33" spans="2:2" ht="47.3" customHeight="1" x14ac:dyDescent="0.35">
      <c r="B33" s="182"/>
    </row>
    <row r="34" spans="2:2" ht="30.8" customHeight="1" x14ac:dyDescent="0.35">
      <c r="B34" s="182"/>
    </row>
    <row r="35" spans="2:2" x14ac:dyDescent="0.35">
      <c r="B35" s="182"/>
    </row>
    <row r="36" spans="2:2" x14ac:dyDescent="0.35">
      <c r="B36" s="182"/>
    </row>
    <row r="37" spans="2:2" x14ac:dyDescent="0.35">
      <c r="B37" s="183"/>
    </row>
    <row r="38" spans="2:2" x14ac:dyDescent="0.35">
      <c r="B38" s="183"/>
    </row>
    <row r="39" spans="2:2" x14ac:dyDescent="0.35">
      <c r="B39" s="183"/>
    </row>
    <row r="40" spans="2:2" x14ac:dyDescent="0.35">
      <c r="B40" s="183"/>
    </row>
    <row r="41" spans="2:2" x14ac:dyDescent="0.35">
      <c r="B41" s="183"/>
    </row>
    <row r="42" spans="2:2" x14ac:dyDescent="0.35">
      <c r="B42" s="183"/>
    </row>
    <row r="43" spans="2:2" x14ac:dyDescent="0.35">
      <c r="B43" s="183"/>
    </row>
    <row r="44" spans="2:2" x14ac:dyDescent="0.35">
      <c r="B44" s="183"/>
    </row>
    <row r="45" spans="2:2" x14ac:dyDescent="0.35">
      <c r="B45" s="183"/>
    </row>
    <row r="46" spans="2:2" x14ac:dyDescent="0.35">
      <c r="B46" s="183"/>
    </row>
    <row r="47" spans="2:2" x14ac:dyDescent="0.35">
      <c r="B47" s="183"/>
    </row>
  </sheetData>
  <sheetProtection algorithmName="SHA-512" hashValue="E9i5FcjrLPUyRAHBV0FdOX+U8kZvF8TITk/yq/9727oHPIt32+oDwz2pdAe2i6/qp0/uySUHtCzJIJ09keSfTg==" saltValue="02OQTh0dG5iTT8Kjllatkw==" spinCount="100000" sheet="1" objects="1" scenarios="1"/>
  <mergeCells count="21">
    <mergeCell ref="A2:E2"/>
    <mergeCell ref="A3:E3"/>
    <mergeCell ref="A4:E4"/>
    <mergeCell ref="A5:E5"/>
    <mergeCell ref="C10:E10"/>
    <mergeCell ref="B6:E6"/>
    <mergeCell ref="B7:E7"/>
    <mergeCell ref="C11:E11"/>
    <mergeCell ref="C24:E24"/>
    <mergeCell ref="C27:E27"/>
    <mergeCell ref="C12:E12"/>
    <mergeCell ref="C13:E13"/>
    <mergeCell ref="C14:E14"/>
    <mergeCell ref="C26:E26"/>
    <mergeCell ref="C25:E25"/>
    <mergeCell ref="C15:E15"/>
    <mergeCell ref="C19:E19"/>
    <mergeCell ref="C23:E23"/>
    <mergeCell ref="C22:E22"/>
    <mergeCell ref="C21:E21"/>
    <mergeCell ref="C20:E20"/>
  </mergeCells>
  <pageMargins left="0.45" right="0.45" top="0.25" bottom="0.25" header="0.3" footer="0.3"/>
  <pageSetup scale="6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BU209"/>
  <sheetViews>
    <sheetView tabSelected="1" topLeftCell="E3" zoomScaleNormal="100" workbookViewId="0">
      <selection activeCell="BF14" sqref="BF14"/>
    </sheetView>
  </sheetViews>
  <sheetFormatPr defaultColWidth="9.09765625" defaultRowHeight="13.45" x14ac:dyDescent="0.3"/>
  <cols>
    <col min="1" max="1" width="6.3984375" style="185" customWidth="1"/>
    <col min="2" max="2" width="4.09765625" style="49" customWidth="1"/>
    <col min="3" max="3" width="25.09765625" style="49" customWidth="1"/>
    <col min="4" max="4" width="15.09765625" style="49" customWidth="1"/>
    <col min="5" max="5" width="5.59765625" style="49" customWidth="1"/>
    <col min="6" max="6" width="14.3984375" style="49" customWidth="1"/>
    <col min="7" max="7" width="19.3984375" style="49" customWidth="1"/>
    <col min="8" max="8" width="11.09765625" style="49" customWidth="1"/>
    <col min="9" max="9" width="9.3984375" style="49" customWidth="1"/>
    <col min="10" max="10" width="17.09765625" style="49" customWidth="1"/>
    <col min="11" max="11" width="17.8984375" style="49" customWidth="1"/>
    <col min="12" max="12" width="15.59765625" style="49" customWidth="1"/>
    <col min="13" max="13" width="17.59765625" style="49" customWidth="1"/>
    <col min="14" max="14" width="11.3984375" style="49" hidden="1" customWidth="1"/>
    <col min="15" max="16" width="15.09765625" style="49" hidden="1" customWidth="1"/>
    <col min="17" max="17" width="9.3984375" style="49" hidden="1" customWidth="1"/>
    <col min="18" max="18" width="6.3984375" style="49" hidden="1" customWidth="1"/>
    <col min="19" max="19" width="10" style="297" hidden="1" customWidth="1"/>
    <col min="20" max="20" width="13.59765625" style="49" hidden="1" customWidth="1"/>
    <col min="21" max="21" width="14.3984375" style="49" hidden="1" customWidth="1"/>
    <col min="22" max="22" width="10.8984375" style="49" hidden="1" customWidth="1"/>
    <col min="23" max="30" width="9.09765625" style="49" hidden="1" customWidth="1"/>
    <col min="31" max="50" width="0" style="49" hidden="1" customWidth="1"/>
    <col min="51" max="51" width="6.3984375" style="49" customWidth="1"/>
    <col min="52" max="52" width="26.8984375" style="49" hidden="1" customWidth="1"/>
    <col min="53" max="53" width="42.59765625" style="49" hidden="1" customWidth="1"/>
    <col min="54" max="54" width="66.296875" style="49" hidden="1" customWidth="1"/>
    <col min="55" max="57" width="116.3984375" style="49" hidden="1" customWidth="1"/>
    <col min="58" max="58" width="43.59765625" style="49" customWidth="1"/>
    <col min="59" max="59" width="99.09765625" style="49" customWidth="1"/>
    <col min="60" max="60" width="12.296875" style="49" customWidth="1"/>
    <col min="61" max="61" width="77.09765625" style="49" customWidth="1"/>
    <col min="62" max="69" width="116.3984375" style="49" customWidth="1"/>
    <col min="70" max="71" width="13" style="49" customWidth="1"/>
    <col min="72" max="72" width="16.3984375" style="49" customWidth="1"/>
    <col min="73" max="73" width="20.3984375" style="49" customWidth="1"/>
    <col min="74" max="74" width="12" style="49" customWidth="1"/>
    <col min="75" max="75" width="24.59765625" style="49" customWidth="1"/>
    <col min="76" max="77" width="116.3984375" style="49" customWidth="1"/>
    <col min="78" max="16384" width="9.09765625" style="49"/>
  </cols>
  <sheetData>
    <row r="1" spans="1:73" s="63" customFormat="1" ht="19.5" customHeight="1" thickBot="1" x14ac:dyDescent="0.35">
      <c r="A1" s="223"/>
      <c r="B1" s="225"/>
      <c r="C1" s="508" t="str">
        <f>"Occupancy Rate Application for New and Replacement Sites FY 2025   " &amp; RIGHT(Version, LEN(Version) - 12)</f>
        <v>Occupancy Rate Application for New and Replacement Sites FY 2025   FY25_v10_02.03</v>
      </c>
      <c r="D1" s="509"/>
      <c r="E1" s="509"/>
      <c r="F1" s="509"/>
      <c r="G1" s="509"/>
      <c r="H1" s="509"/>
      <c r="I1" s="509"/>
      <c r="J1" s="509"/>
      <c r="K1" s="509"/>
      <c r="L1" s="509"/>
      <c r="M1" s="510"/>
      <c r="N1" s="222"/>
      <c r="AF1" s="328"/>
      <c r="BA1" s="418" t="s">
        <v>803</v>
      </c>
    </row>
    <row r="2" spans="1:73" ht="12.8" customHeight="1" x14ac:dyDescent="0.3">
      <c r="C2" s="628" t="str">
        <f ca="1" xml:space="preserve"> SubmissionDateWarning</f>
        <v>Do not submit this ORA more than two weeks before the move-in date</v>
      </c>
      <c r="D2" s="629"/>
      <c r="E2" s="629"/>
      <c r="F2" s="629"/>
      <c r="G2" s="629"/>
      <c r="H2" s="629"/>
      <c r="I2" s="629"/>
      <c r="J2" s="629"/>
      <c r="K2" s="629"/>
      <c r="L2" s="629"/>
      <c r="M2" s="629"/>
      <c r="BA2" s="368" t="s">
        <v>810</v>
      </c>
    </row>
    <row r="3" spans="1:73" s="63" customFormat="1" ht="16.55" customHeight="1" thickBot="1" x14ac:dyDescent="0.35">
      <c r="A3" s="223"/>
      <c r="B3" s="223"/>
      <c r="C3" s="637" t="s">
        <v>890</v>
      </c>
      <c r="D3" s="638"/>
      <c r="E3" s="406"/>
      <c r="F3" s="635" t="str">
        <f>IF(ISBLANK(RateApprovalType),"",IF(AND(LEN(AgncySIg)&gt;1,ISNUMBER(AgncySigDate)),"      Rate Approval Type:  "&amp;RateApprovalType,""))</f>
        <v/>
      </c>
      <c r="G3" s="636"/>
      <c r="H3" s="636"/>
      <c r="I3" s="636"/>
      <c r="J3" s="636"/>
      <c r="K3" s="407" t="s">
        <v>789</v>
      </c>
      <c r="L3" s="633" t="s">
        <v>788</v>
      </c>
      <c r="M3" s="634"/>
      <c r="N3" s="224"/>
      <c r="S3" s="295" t="s">
        <v>726</v>
      </c>
      <c r="AP3" s="202" t="s">
        <v>790</v>
      </c>
      <c r="BA3" s="418" t="s">
        <v>809</v>
      </c>
    </row>
    <row r="4" spans="1:73" ht="13.6" customHeight="1" x14ac:dyDescent="0.3">
      <c r="B4" s="87"/>
      <c r="C4" s="1"/>
      <c r="D4" s="50"/>
      <c r="E4" s="50"/>
      <c r="F4" s="50"/>
      <c r="G4" s="50"/>
      <c r="H4" s="50"/>
      <c r="I4" s="50"/>
      <c r="J4" s="50"/>
      <c r="K4" s="50"/>
      <c r="L4" s="624" t="s">
        <v>721</v>
      </c>
      <c r="M4" s="320" t="str">
        <f>IF(LEN(AreaOffice)&lt;1,"â â â â"," ")</f>
        <v>â â â â</v>
      </c>
      <c r="N4" s="50"/>
      <c r="O4" s="323" t="s">
        <v>746</v>
      </c>
      <c r="P4" s="321"/>
      <c r="Q4" s="321"/>
      <c r="R4" s="321"/>
      <c r="S4" s="322"/>
    </row>
    <row r="5" spans="1:73" ht="18" customHeight="1" x14ac:dyDescent="0.4">
      <c r="B5" s="88" t="s">
        <v>1</v>
      </c>
      <c r="C5" s="203" t="s">
        <v>784</v>
      </c>
      <c r="D5" s="602"/>
      <c r="E5" s="606"/>
      <c r="F5" s="134" t="str">
        <f>IF(LEN(D5)&lt;1,"&lt;-------","")</f>
        <v>&lt;-------</v>
      </c>
      <c r="G5" s="204" t="s">
        <v>68</v>
      </c>
      <c r="H5" s="529"/>
      <c r="I5" s="530"/>
      <c r="J5" s="531"/>
      <c r="K5" s="134" t="str">
        <f>IF(LEN(H5)&lt;1,"&lt;-------","")</f>
        <v>&lt;-------</v>
      </c>
      <c r="L5" s="625"/>
      <c r="M5" s="329"/>
      <c r="N5" s="105"/>
      <c r="BA5" s="304"/>
      <c r="BB5" s="417"/>
      <c r="BC5" s="417"/>
    </row>
    <row r="6" spans="1:73" s="68" customFormat="1" ht="6.75" customHeight="1" x14ac:dyDescent="0.3">
      <c r="A6" s="187"/>
      <c r="B6" s="100"/>
      <c r="C6" s="408"/>
      <c r="M6" s="409"/>
      <c r="S6" s="299"/>
      <c r="BA6" s="417"/>
      <c r="BB6" s="417"/>
      <c r="BC6" s="417"/>
    </row>
    <row r="7" spans="1:73" ht="5.25" customHeight="1" x14ac:dyDescent="0.3">
      <c r="B7" s="50"/>
      <c r="L7" s="534" t="str">
        <f ca="1">"Operational" &amp; Break &amp; "Contract Type:"</f>
        <v>Operational
Contract Type:</v>
      </c>
      <c r="M7" s="639"/>
      <c r="N7" s="21"/>
      <c r="BA7" s="417"/>
      <c r="BB7" s="417"/>
      <c r="BC7" s="417"/>
    </row>
    <row r="8" spans="1:73" ht="18.8" customHeight="1" x14ac:dyDescent="0.3">
      <c r="B8" s="98"/>
      <c r="C8" s="203" t="s">
        <v>71</v>
      </c>
      <c r="D8" s="529"/>
      <c r="E8" s="530"/>
      <c r="F8" s="531"/>
      <c r="G8" s="135" t="str">
        <f>IF(LEN(D8)&lt;1,"&lt;--------&gt;",IF(LEN(J8)&lt;1,"&lt;--------&gt;"," "))</f>
        <v>&lt;--------&gt;</v>
      </c>
      <c r="H8" s="532" t="s">
        <v>802</v>
      </c>
      <c r="I8" s="533"/>
      <c r="J8" s="514"/>
      <c r="K8" s="515"/>
      <c r="L8" s="535"/>
      <c r="M8" s="640"/>
      <c r="N8" s="161"/>
      <c r="T8" s="194"/>
      <c r="BA8" s="368" t="s">
        <v>868</v>
      </c>
      <c r="BF8" s="49" t="s">
        <v>626</v>
      </c>
    </row>
    <row r="9" spans="1:73" s="50" customFormat="1" ht="24.75" customHeight="1" x14ac:dyDescent="0.3">
      <c r="A9" s="186"/>
      <c r="B9" s="100"/>
      <c r="G9" s="100" t="str">
        <f>IF(ContractType = 2, "ABI Site", "")</f>
        <v/>
      </c>
      <c r="H9" s="413" t="str">
        <f>IF(OR(MedicalIntensity, BehavioralIntensity), "&lt;--- DDS will verify", "")</f>
        <v/>
      </c>
      <c r="I9" s="414"/>
      <c r="J9" s="642" t="str">
        <f xml:space="preserve"> IF(ISBLANK(Engagement), "Enter Proposed 20-Character DocID", IF( LEN(TRIM(Engagement)) = 20,(IF( OR(ContractType &lt; 4,ContractType = 7),  IF(MID(Engagement,9,1) &lt;&gt; "L", "9th character must be L, not " &amp; MID(Engagement,9,1), ""), "")),  "DocID must be 20 characters" )) &amp;                      IF(AND(LEN(TRIM(Engagement)) = 20,ContractType =1,RIGHT(Engagement,5) &lt;&gt; "3753M"), "             DDS ID Contracts must end wth 3753M", IF(AND(LEN(TRIM(Engagement)) = 20,ContractType =2,RIGHT(Engagement,5) &lt;&gt; "3713M"), "             DDS ABI Contracts must end wth 3713M",""))</f>
        <v>Enter Proposed 20-Character DocID</v>
      </c>
      <c r="K9" s="643"/>
      <c r="L9" s="644" t="str">
        <f>IF(H14 = "MA",IF(ISBLANK(E14),"",IF(IF(ISERROR(VLOOKUP(E14,'Cities &amp; Regions'!A3:A351,1,FALSE)),H14&lt;&gt;"MA",H14="MA"),"","Enter an official town  &lt;----  in MA and set the state to 'MA', or enter a different state.")),"")</f>
        <v/>
      </c>
      <c r="M9" s="640"/>
      <c r="N9" s="52"/>
      <c r="S9" s="298"/>
      <c r="T9" s="49"/>
      <c r="BE9" s="419" t="s">
        <v>867</v>
      </c>
      <c r="BF9" s="426"/>
      <c r="BG9" s="54" t="str">
        <f>IF(AND(LEN(TRIM(Engagement)) = 20,ContractType =1,RIGHT(Engagement,5) &lt;&gt; "3753M"), "             DDS ID Contracts must end wth 3753M", IF(AND(LEN(TRIM(Engagement)) = 20,ContractType =2,RIGHT(Engagement,5) &lt;&gt; "3713M"), "             DDS ID Contracts must end wth 3713M",""))</f>
        <v/>
      </c>
      <c r="BH9" s="98"/>
      <c r="BI9" s="424"/>
      <c r="BJ9" s="203"/>
      <c r="BK9" s="203"/>
      <c r="BL9" s="203"/>
      <c r="BM9" s="203"/>
      <c r="BN9" s="203"/>
      <c r="BO9" s="203"/>
      <c r="BP9" s="203"/>
      <c r="BQ9" s="203"/>
      <c r="BR9" s="49"/>
      <c r="BS9" s="49"/>
      <c r="BT9" s="49"/>
      <c r="BU9" s="425" t="s">
        <v>872</v>
      </c>
    </row>
    <row r="10" spans="1:73" s="50" customFormat="1" ht="7.55" customHeight="1" x14ac:dyDescent="0.3">
      <c r="A10" s="186"/>
      <c r="B10" s="100"/>
      <c r="C10" s="412"/>
      <c r="D10" s="412"/>
      <c r="E10" s="412"/>
      <c r="F10" s="412"/>
      <c r="G10" s="412"/>
      <c r="H10" s="415"/>
      <c r="I10" s="415"/>
      <c r="J10" s="416"/>
      <c r="K10" s="416"/>
      <c r="L10" s="644"/>
      <c r="M10" s="640"/>
      <c r="N10" s="52"/>
      <c r="S10" s="298"/>
      <c r="T10" s="49"/>
    </row>
    <row r="11" spans="1:73" ht="15.05" customHeight="1" x14ac:dyDescent="0.3">
      <c r="B11" s="3" t="s">
        <v>2</v>
      </c>
      <c r="C11" s="2" t="s">
        <v>753</v>
      </c>
      <c r="D11" s="203" t="s">
        <v>24</v>
      </c>
      <c r="E11" s="529"/>
      <c r="F11" s="530"/>
      <c r="G11" s="530"/>
      <c r="H11" s="530"/>
      <c r="I11" s="530"/>
      <c r="J11" s="531"/>
      <c r="K11" s="335" t="str">
        <f>IF(LEN(E11)&lt;1,"&lt;-----","")</f>
        <v>&lt;-----</v>
      </c>
      <c r="L11" s="645"/>
      <c r="M11" s="640"/>
      <c r="N11" s="21"/>
      <c r="BA11" s="49">
        <f>ContractType</f>
        <v>1</v>
      </c>
      <c r="BF11" s="54"/>
    </row>
    <row r="12" spans="1:73" ht="9.8000000000000007" customHeight="1" x14ac:dyDescent="0.3">
      <c r="B12" s="3"/>
      <c r="C12" s="2"/>
      <c r="D12" s="203"/>
      <c r="E12" s="410"/>
      <c r="F12" s="410"/>
      <c r="G12" s="410"/>
      <c r="H12" s="410"/>
      <c r="I12" s="410"/>
      <c r="J12" s="411"/>
      <c r="K12" s="335"/>
      <c r="L12" s="645"/>
      <c r="M12" s="640"/>
      <c r="N12" s="21"/>
    </row>
    <row r="13" spans="1:73" ht="15.05" customHeight="1" x14ac:dyDescent="0.3">
      <c r="B13" s="3"/>
      <c r="C13" s="569" t="str">
        <f xml:space="preserve">  IF(SiteTypeEntry = "1 unit building", "Please enter the apartment/unit number, if one exists  --&gt;", "Please enter the apartment/unit number to identify this site, which is located within a multi-unit building:")</f>
        <v>Please enter the apartment/unit number to identify this site, which is located within a multi-unit building:</v>
      </c>
      <c r="D13" s="570"/>
      <c r="E13" s="570"/>
      <c r="F13" s="570"/>
      <c r="G13" s="570"/>
      <c r="H13" s="570"/>
      <c r="I13" s="570"/>
      <c r="J13" s="331"/>
      <c r="K13" s="333" t="str">
        <f>IF(SiteTypeEntry="1 unit building","",IF(ISBLANK(UnitNumber),"&lt;- Enter Apt / Unit #",""))</f>
        <v>&lt;- Enter Apt / Unit #</v>
      </c>
      <c r="L13" s="645"/>
      <c r="M13" s="640"/>
      <c r="N13" s="21"/>
    </row>
    <row r="14" spans="1:73" ht="15.75" customHeight="1" x14ac:dyDescent="0.4">
      <c r="B14" s="50"/>
      <c r="C14" s="106" t="str">
        <f>IF(LEN(E14)&lt;3,"-----&gt;","")</f>
        <v>-----&gt;</v>
      </c>
      <c r="D14" s="203" t="s">
        <v>66</v>
      </c>
      <c r="E14" s="529"/>
      <c r="F14" s="531"/>
      <c r="G14" s="205" t="s">
        <v>477</v>
      </c>
      <c r="H14" s="132"/>
      <c r="I14" s="206" t="s">
        <v>67</v>
      </c>
      <c r="J14" s="331"/>
      <c r="K14" s="61" t="str">
        <f>IF(LEN(J14)&lt;&gt;5,"&lt;-----","")</f>
        <v>&lt;-----</v>
      </c>
      <c r="L14" s="645"/>
      <c r="M14" s="640"/>
      <c r="N14" s="21"/>
    </row>
    <row r="15" spans="1:73" ht="15.6" x14ac:dyDescent="0.3">
      <c r="B15" s="50"/>
      <c r="C15" s="571" t="s">
        <v>755</v>
      </c>
      <c r="D15" s="572"/>
      <c r="E15" s="516"/>
      <c r="F15" s="517"/>
      <c r="G15" s="208" t="str">
        <f>IF(LEN(E15)&lt;1,"&lt;-- Select Type","")</f>
        <v>&lt;-- Select Type</v>
      </c>
      <c r="H15" s="68"/>
      <c r="I15" s="380" t="s">
        <v>536</v>
      </c>
      <c r="J15" s="5" t="str">
        <f>IF(H14= "MA",IF(ISERROR(VLOOKUP(E14,'Cities &amp; Regions'!A3:B351,2,FALSE)), "", VLOOKUP(E14,'Cities &amp; Regions'!A3:B351,2,)),"")</f>
        <v/>
      </c>
      <c r="K15" s="5" t="str">
        <f>IF(ISBLANK(LocationID), "",  "Loc. ID: " &amp; LocationID)</f>
        <v/>
      </c>
      <c r="L15" s="645"/>
      <c r="M15" s="640"/>
      <c r="N15" s="53"/>
      <c r="T15" s="21"/>
    </row>
    <row r="16" spans="1:73" ht="13.7" customHeight="1" x14ac:dyDescent="0.3">
      <c r="B16" s="50"/>
      <c r="C16" s="214"/>
      <c r="D16" s="332"/>
      <c r="E16" s="332"/>
      <c r="F16" s="332"/>
      <c r="G16" s="332"/>
      <c r="H16" s="332"/>
      <c r="I16" s="332"/>
      <c r="J16" s="54"/>
      <c r="K16" s="336"/>
      <c r="L16" s="330"/>
      <c r="M16" s="641"/>
      <c r="N16" s="4"/>
      <c r="T16" s="194"/>
    </row>
    <row r="18" spans="1:54" s="68" customFormat="1" ht="19.5" customHeight="1" x14ac:dyDescent="0.3">
      <c r="A18" s="187"/>
      <c r="B18" s="5" t="s">
        <v>9</v>
      </c>
      <c r="C18" s="198" t="s">
        <v>869</v>
      </c>
      <c r="D18" s="132"/>
      <c r="E18" s="133"/>
      <c r="F18" s="114"/>
      <c r="G18" s="115"/>
      <c r="H18" s="207" t="s">
        <v>752</v>
      </c>
      <c r="I18" s="132"/>
      <c r="J18" s="133" t="str">
        <f>IF(I18&lt;1,"&lt;-----","")</f>
        <v>&lt;-----</v>
      </c>
      <c r="K18" s="518" t="str">
        <f>IF(I18&gt;D18,"&lt;---------EXCEEDS TOTAL CAPACITY!","")</f>
        <v/>
      </c>
      <c r="L18" s="518"/>
      <c r="M18" s="518"/>
      <c r="S18" s="299"/>
      <c r="BA18" s="420" t="s">
        <v>870</v>
      </c>
    </row>
    <row r="19" spans="1:54" ht="11.95" customHeight="1" x14ac:dyDescent="0.3">
      <c r="B19" s="50"/>
      <c r="C19" s="53"/>
      <c r="M19" s="98" t="str">
        <f>IF(RelatedPartyNo+RelatedPartyYes&lt;&gt;1,"Please select Yes or No","")</f>
        <v>Please select Yes or No</v>
      </c>
    </row>
    <row r="20" spans="1:54" ht="24.05" customHeight="1" x14ac:dyDescent="0.3">
      <c r="B20" s="5" t="s">
        <v>10</v>
      </c>
      <c r="C20" s="198" t="s">
        <v>116</v>
      </c>
      <c r="D20" s="326" t="str">
        <f ca="1" xml:space="preserve"> IF((Purchase+Lease+CapitalLease= 1)," ","Select ONE" &amp; Break &amp; "finance type:")</f>
        <v>Select ONE
finance type:</v>
      </c>
      <c r="E20" s="519"/>
      <c r="F20" s="520"/>
      <c r="G20" s="520"/>
      <c r="H20" s="521"/>
      <c r="I20" s="619" t="s">
        <v>91</v>
      </c>
      <c r="J20" s="620"/>
      <c r="K20" s="620"/>
      <c r="L20" s="94" t="s">
        <v>92</v>
      </c>
      <c r="M20" s="131"/>
      <c r="N20" s="107" t="str">
        <f>IF(AND(OR(A171=TRUE,A172=TRUE),AND(A179 + A181 &lt;&gt; 1)),"SELECT ONE","")</f>
        <v/>
      </c>
      <c r="R20" s="68"/>
      <c r="S20" s="299"/>
      <c r="T20" s="68"/>
    </row>
    <row r="21" spans="1:54" ht="16.55" customHeight="1" x14ac:dyDescent="0.3">
      <c r="B21" s="5"/>
      <c r="C21" s="203" t="s">
        <v>739</v>
      </c>
      <c r="D21" s="327" t="str">
        <f>IF(LEN(E21)&lt; 4, "Enter Owner -&gt;", "")</f>
        <v>Enter Owner -&gt;</v>
      </c>
      <c r="E21" s="602"/>
      <c r="F21" s="603"/>
      <c r="G21" s="603"/>
      <c r="H21" s="603"/>
      <c r="I21" s="604"/>
      <c r="J21" s="605"/>
      <c r="K21" s="97"/>
      <c r="L21" s="94"/>
      <c r="M21" s="21"/>
      <c r="N21" s="107"/>
      <c r="O21" s="322" t="s">
        <v>740</v>
      </c>
      <c r="R21" s="68"/>
      <c r="S21" s="299"/>
      <c r="T21" s="68"/>
    </row>
    <row r="22" spans="1:54" ht="11.3" customHeight="1" x14ac:dyDescent="0.3">
      <c r="B22" s="100"/>
      <c r="C22" s="319"/>
      <c r="D22" s="209"/>
      <c r="E22" s="173" t="s">
        <v>742</v>
      </c>
      <c r="G22" s="173"/>
      <c r="R22" s="68"/>
      <c r="S22" s="299"/>
      <c r="T22" s="68"/>
    </row>
    <row r="23" spans="1:54" ht="21.1" customHeight="1" x14ac:dyDescent="0.3">
      <c r="A23" s="187"/>
      <c r="B23" s="5"/>
      <c r="C23" s="15"/>
      <c r="D23" s="318" t="str">
        <f>IF(AND(Purchase=TRUE,ExistingHouse+NewConstruction&lt;&gt;1),"Required: Select ONE construction type:",IF(AND(Purchase=FALSE,ExistingHouse+NewConstruction&lt;&gt;0),"Checkboxes are for purchases only",""))</f>
        <v/>
      </c>
      <c r="E23" s="522"/>
      <c r="F23" s="523"/>
      <c r="G23" s="523"/>
      <c r="H23" s="524"/>
      <c r="I23" s="55"/>
      <c r="J23" s="200" t="s">
        <v>103</v>
      </c>
      <c r="K23" s="621"/>
      <c r="L23" s="622"/>
      <c r="M23" s="623"/>
      <c r="N23" s="107" t="str">
        <f>IF(AND(OR(A177=TRUE,A178=TRUE),AND(A180=FALSE,A176=FALSE)),"SELECT ONE","")</f>
        <v/>
      </c>
      <c r="O23" s="322" t="s">
        <v>743</v>
      </c>
      <c r="P23" s="322"/>
      <c r="Q23" s="322"/>
      <c r="R23" s="324"/>
      <c r="S23" s="324"/>
      <c r="T23" s="325" t="s">
        <v>744</v>
      </c>
      <c r="U23" s="321"/>
      <c r="V23" s="321"/>
      <c r="W23" s="321"/>
      <c r="X23" s="321"/>
      <c r="Y23" s="321"/>
      <c r="Z23" s="321"/>
      <c r="AA23" s="321"/>
      <c r="AB23" s="321"/>
    </row>
    <row r="24" spans="1:54" s="51" customFormat="1" ht="18" customHeight="1" x14ac:dyDescent="0.3">
      <c r="A24" s="188"/>
      <c r="B24" s="73" t="s">
        <v>11</v>
      </c>
      <c r="C24" s="90" t="s">
        <v>70</v>
      </c>
      <c r="D24" s="91"/>
      <c r="E24" s="95"/>
      <c r="F24" s="48"/>
      <c r="G24" s="48"/>
      <c r="H24" s="92"/>
      <c r="I24" s="92"/>
      <c r="J24" s="93"/>
      <c r="K24" s="513" t="str">
        <f>IF((MoveInPending+MoveInCompleted=1),"","^    ^   ^   ^   SELECT   ONE   ABOVE    ^    ^    ^    ^           ")</f>
        <v xml:space="preserve">^    ^   ^   ^   SELECT   ONE   ABOVE    ^    ^    ^    ^           </v>
      </c>
      <c r="L24" s="513"/>
      <c r="M24" s="513"/>
      <c r="N24" s="95"/>
      <c r="R24" s="68"/>
      <c r="S24" s="299"/>
      <c r="T24" s="317" t="s">
        <v>745</v>
      </c>
    </row>
    <row r="25" spans="1:54" ht="12.1" customHeight="1" thickBot="1" x14ac:dyDescent="0.35">
      <c r="B25" s="3"/>
      <c r="C25" s="184" t="s">
        <v>77</v>
      </c>
      <c r="D25" s="16"/>
      <c r="G25" s="4" t="s">
        <v>76</v>
      </c>
      <c r="I25" s="90"/>
      <c r="J25" s="90"/>
      <c r="K25" s="573" t="s">
        <v>780</v>
      </c>
      <c r="L25" s="574"/>
      <c r="M25" s="574"/>
      <c r="R25" s="68"/>
      <c r="S25" s="299"/>
      <c r="BA25" s="68"/>
      <c r="BB25" s="68"/>
    </row>
    <row r="26" spans="1:54" ht="21.1" customHeight="1" x14ac:dyDescent="0.3">
      <c r="A26" s="189"/>
      <c r="B26" s="75"/>
      <c r="C26" s="101" t="s">
        <v>25</v>
      </c>
      <c r="D26" s="228"/>
      <c r="E26" s="231" t="str">
        <f ca="1">IF(ExistingHouse,IF(ISBLANK(D26),"&lt;---------", IF(DATEDIF(Purchasedate,NOW(),"M")&gt;=330,"  Fully Depreciated", "")   ),IF(NewConstruction,IF(ISBLANK(D26),"","&lt;---New Construction Only!"),""))</f>
        <v/>
      </c>
      <c r="G26" s="101" t="s">
        <v>73</v>
      </c>
      <c r="H26" s="122"/>
      <c r="I26" s="230" t="str">
        <f t="shared" ref="I26:I32" si="0">IF(NewConstruction,IF(ISBLANK(H26),"&lt;---------"," "),IF(ExistingHouse,IF(ISBLANK(H26),"","Existing House &lt;--- Only!"),""))</f>
        <v/>
      </c>
      <c r="J26" s="197" t="str">
        <f>IF(AND(Purchase = FALSE,Lease+CapitalLease=1,ISBLANK(LeaseAmount)),"---------&gt;","")</f>
        <v/>
      </c>
      <c r="K26" s="525" t="str">
        <f>IF(Purchase+Lease+CapitalLease=1,IF(CapitalLease,"Monthly Capital Lease Amount:",IF(Lease,"Monthly Lease Amount:", IF(LeaseAmount &gt;0,   "Purchase: Do not enter $ for lease",""))),IF(Purchase+Lease+CapitalLease=3,"Please Correct Acquisition Type",IF(Purchase,"Please Correct Acquisition Type","Check lease or capital lease, not both")))</f>
        <v>Check lease or capital lease, not both</v>
      </c>
      <c r="L26" s="526"/>
      <c r="M26" s="196"/>
      <c r="R26" s="68"/>
      <c r="S26" s="299"/>
      <c r="T26" s="68"/>
      <c r="U26" s="49" t="s">
        <v>611</v>
      </c>
      <c r="BA26" s="68"/>
      <c r="BB26" s="68"/>
    </row>
    <row r="27" spans="1:54" ht="18.8" customHeight="1" thickBot="1" x14ac:dyDescent="0.35">
      <c r="B27" s="75"/>
      <c r="C27" s="77" t="s">
        <v>26</v>
      </c>
      <c r="D27" s="127"/>
      <c r="E27" s="231" t="str">
        <f t="shared" ref="E27:E31" si="1">IF(ExistingHouse,IF(ISBLANK(D27),"&lt;---------"," "),IF(NewConstruction,IF(ISBLANK(D27),"","&lt;---New Construction Only!"),""))</f>
        <v/>
      </c>
      <c r="G27" s="77" t="s">
        <v>79</v>
      </c>
      <c r="H27" s="123"/>
      <c r="I27" s="230" t="str">
        <f t="shared" si="0"/>
        <v/>
      </c>
      <c r="K27" s="527" t="s">
        <v>106</v>
      </c>
      <c r="L27" s="528"/>
      <c r="M27" s="195">
        <f>LeaseAmount*12</f>
        <v>0</v>
      </c>
      <c r="R27" s="68"/>
      <c r="S27" s="299"/>
      <c r="T27" s="68"/>
      <c r="BA27" s="68"/>
      <c r="BB27" s="68"/>
    </row>
    <row r="28" spans="1:54" ht="21.1" customHeight="1" x14ac:dyDescent="0.3">
      <c r="B28" s="75"/>
      <c r="C28" s="78" t="s">
        <v>27</v>
      </c>
      <c r="D28" s="128"/>
      <c r="E28" s="231" t="str">
        <f t="shared" si="1"/>
        <v/>
      </c>
      <c r="G28" s="77" t="s">
        <v>80</v>
      </c>
      <c r="H28" s="124"/>
      <c r="I28" s="230" t="str">
        <f t="shared" si="0"/>
        <v/>
      </c>
      <c r="J28" s="626"/>
      <c r="K28" s="627"/>
      <c r="L28" s="627"/>
      <c r="M28" s="627"/>
      <c r="N28" s="109" t="str">
        <f>IF(AND(A171=TRUE,LEN(M26)&lt;1),"&lt;-------","")</f>
        <v/>
      </c>
      <c r="BA28" s="68"/>
      <c r="BB28" s="68"/>
    </row>
    <row r="29" spans="1:54" s="68" customFormat="1" ht="21.1" customHeight="1" x14ac:dyDescent="0.45">
      <c r="A29" s="187"/>
      <c r="B29" s="75"/>
      <c r="C29" s="77" t="s">
        <v>28</v>
      </c>
      <c r="D29" s="129"/>
      <c r="E29" s="231" t="str">
        <f t="shared" si="1"/>
        <v/>
      </c>
      <c r="G29" s="77" t="s">
        <v>98</v>
      </c>
      <c r="H29" s="124"/>
      <c r="I29" s="230" t="str">
        <f t="shared" si="0"/>
        <v/>
      </c>
      <c r="J29" s="175"/>
      <c r="L29" s="202"/>
      <c r="N29" s="111"/>
      <c r="S29" s="299"/>
    </row>
    <row r="30" spans="1:54" s="68" customFormat="1" ht="17.5" customHeight="1" x14ac:dyDescent="0.3">
      <c r="A30" s="187"/>
      <c r="B30" s="75"/>
      <c r="C30" s="78" t="s">
        <v>29</v>
      </c>
      <c r="D30" s="130"/>
      <c r="E30" s="231" t="str">
        <f t="shared" si="1"/>
        <v/>
      </c>
      <c r="G30" s="77" t="s">
        <v>81</v>
      </c>
      <c r="H30" s="229"/>
      <c r="I30" s="230" t="str">
        <f t="shared" si="0"/>
        <v/>
      </c>
      <c r="J30" s="582" t="str">
        <f>"Will this site replace an existing site" &amp; CHAR(10) &amp; "in this or another contract?"</f>
        <v>Will this site replace an existing site
in this or another contract?</v>
      </c>
      <c r="K30" s="583"/>
      <c r="L30" s="421"/>
      <c r="M30" s="107" t="str">
        <f>IF(ISBLANK(YesNoReplacement), "&lt;-- Enter Yes or No","")</f>
        <v>&lt;-- Enter Yes or No</v>
      </c>
      <c r="S30" s="299"/>
      <c r="BA30" s="420" t="s">
        <v>871</v>
      </c>
    </row>
    <row r="31" spans="1:54" s="68" customFormat="1" ht="17.5" customHeight="1" x14ac:dyDescent="0.3">
      <c r="A31" s="187"/>
      <c r="B31" s="5"/>
      <c r="C31" s="86" t="s">
        <v>78</v>
      </c>
      <c r="D31" s="127"/>
      <c r="E31" s="231" t="str">
        <f t="shared" si="1"/>
        <v/>
      </c>
      <c r="G31" s="77" t="s">
        <v>74</v>
      </c>
      <c r="H31" s="125"/>
      <c r="I31" s="230" t="str">
        <f t="shared" si="0"/>
        <v/>
      </c>
      <c r="J31" s="583"/>
      <c r="K31" s="583"/>
      <c r="L31" s="72"/>
      <c r="M31" s="72"/>
      <c r="S31" s="299"/>
      <c r="U31" s="202" t="s">
        <v>537</v>
      </c>
      <c r="Y31" s="202" t="s">
        <v>121</v>
      </c>
      <c r="AP31" s="202" t="s">
        <v>792</v>
      </c>
    </row>
    <row r="32" spans="1:54" s="72" customFormat="1" ht="18.8" customHeight="1" thickBot="1" x14ac:dyDescent="0.35">
      <c r="A32" s="188"/>
      <c r="B32" s="73"/>
      <c r="C32" s="80" t="s">
        <v>54</v>
      </c>
      <c r="D32" s="104">
        <f>D29*D28</f>
        <v>0</v>
      </c>
      <c r="E32" s="103"/>
      <c r="G32" s="77" t="s">
        <v>29</v>
      </c>
      <c r="H32" s="126"/>
      <c r="I32" s="230" t="str">
        <f t="shared" si="0"/>
        <v/>
      </c>
      <c r="J32" s="395" t="s">
        <v>117</v>
      </c>
      <c r="K32" s="396"/>
      <c r="L32" s="580"/>
      <c r="M32" s="581"/>
      <c r="N32" s="108"/>
      <c r="S32" s="299"/>
    </row>
    <row r="33" spans="1:54" s="72" customFormat="1" ht="17.5" customHeight="1" thickBot="1" x14ac:dyDescent="0.35">
      <c r="A33" s="188"/>
      <c r="B33" s="73"/>
      <c r="C33" s="92"/>
      <c r="D33" s="103"/>
      <c r="E33" s="103"/>
      <c r="G33" s="102" t="s">
        <v>54</v>
      </c>
      <c r="H33" s="79">
        <f>H31*(H29+H27)</f>
        <v>0</v>
      </c>
      <c r="I33" s="49"/>
      <c r="J33" s="397" t="str">
        <f>IF(CEDACAPPLIED,  "Date of CEDAC application", "")</f>
        <v/>
      </c>
      <c r="K33" s="398"/>
      <c r="L33" s="260">
        <v>45748</v>
      </c>
      <c r="M33" s="201" t="str">
        <f>IF(AND(CEDACAPPLIED,ISBLANK(L33))," &lt;-----", "")</f>
        <v/>
      </c>
      <c r="N33" s="108"/>
      <c r="S33" s="299"/>
      <c r="U33" s="226" t="b">
        <f>AND(SiteApprovalDate &lt;= DATE(2018,6,30), ExistingHouse = FALSE)</f>
        <v>0</v>
      </c>
      <c r="V33" s="221"/>
      <c r="W33" s="221"/>
    </row>
    <row r="34" spans="1:54" s="90" customFormat="1" ht="12.8" customHeight="1" x14ac:dyDescent="0.3">
      <c r="A34" s="190"/>
      <c r="B34" s="73"/>
      <c r="C34" s="512"/>
      <c r="D34" s="512"/>
      <c r="E34" s="512"/>
      <c r="F34" s="512"/>
      <c r="G34" s="512"/>
      <c r="H34" s="512"/>
      <c r="I34" s="512"/>
      <c r="J34" s="512"/>
      <c r="K34" s="512"/>
      <c r="L34" s="512"/>
      <c r="M34" s="512"/>
      <c r="N34" s="367"/>
      <c r="S34" s="300"/>
    </row>
    <row r="35" spans="1:54" ht="9.8000000000000007" customHeight="1" x14ac:dyDescent="0.3">
      <c r="B35" s="3" t="s">
        <v>12</v>
      </c>
      <c r="C35" s="4" t="s">
        <v>97</v>
      </c>
      <c r="D35" s="4"/>
      <c r="E35" s="4"/>
      <c r="F35" s="4"/>
      <c r="G35" s="4"/>
      <c r="H35" s="4"/>
      <c r="I35" s="4"/>
      <c r="J35" s="4"/>
      <c r="K35" s="4"/>
      <c r="L35" s="4"/>
      <c r="M35" s="4"/>
      <c r="N35" s="4"/>
      <c r="U35" s="227"/>
    </row>
    <row r="36" spans="1:54" s="63" customFormat="1" ht="10.5" customHeight="1" x14ac:dyDescent="0.3">
      <c r="A36" s="191"/>
      <c r="B36" s="64"/>
      <c r="C36" s="511"/>
      <c r="D36" s="511"/>
      <c r="E36" s="511"/>
      <c r="F36" s="511"/>
      <c r="G36" s="511"/>
      <c r="H36" s="511"/>
      <c r="I36" s="511"/>
      <c r="J36" s="511"/>
      <c r="K36" s="511"/>
      <c r="L36" s="64"/>
      <c r="M36" s="64"/>
      <c r="N36" s="64"/>
      <c r="S36" s="296"/>
    </row>
    <row r="37" spans="1:54" ht="15.75" customHeight="1" x14ac:dyDescent="0.4">
      <c r="B37" s="71"/>
      <c r="D37" s="162"/>
      <c r="E37" s="162"/>
      <c r="F37" s="166"/>
      <c r="I37" s="164"/>
      <c r="J37" s="165" t="s">
        <v>93</v>
      </c>
      <c r="K37" s="117"/>
      <c r="L37" s="61" t="str">
        <f>IF(AND(A178=TRUE,LEN(K37)&lt;1),"&lt;------",IF(AND(A172=TRUE,LEN(K37)&lt;1),"&lt;------",""))</f>
        <v/>
      </c>
      <c r="N37" s="21"/>
    </row>
    <row r="38" spans="1:54" s="65" customFormat="1" ht="15.05" customHeight="1" x14ac:dyDescent="0.3">
      <c r="A38" s="191"/>
      <c r="B38" s="63"/>
      <c r="C38" s="63"/>
      <c r="D38" s="66"/>
      <c r="E38" s="66"/>
      <c r="F38" s="66"/>
      <c r="G38" s="617" t="s">
        <v>94</v>
      </c>
      <c r="H38" s="617"/>
      <c r="I38" s="617"/>
      <c r="J38" s="618"/>
      <c r="K38" s="67">
        <f>(D27-K37)</f>
        <v>0</v>
      </c>
      <c r="L38" s="63"/>
      <c r="M38" s="63"/>
      <c r="S38" s="296"/>
    </row>
    <row r="39" spans="1:54" s="65" customFormat="1" ht="15.05" customHeight="1" x14ac:dyDescent="0.3">
      <c r="A39" s="191"/>
      <c r="B39" s="63"/>
      <c r="C39" s="63"/>
      <c r="D39" s="66"/>
      <c r="E39" s="66"/>
      <c r="F39" s="66"/>
      <c r="G39" s="617" t="s">
        <v>95</v>
      </c>
      <c r="H39" s="617"/>
      <c r="I39" s="617"/>
      <c r="J39" s="618"/>
      <c r="K39" s="67">
        <f>(H28)</f>
        <v>0</v>
      </c>
      <c r="L39" s="63"/>
      <c r="M39" s="63"/>
      <c r="S39" s="296"/>
    </row>
    <row r="40" spans="1:54" ht="6.75" customHeight="1" thickBot="1" x14ac:dyDescent="0.35">
      <c r="C40" s="2"/>
      <c r="J40" s="2"/>
      <c r="K40" s="2"/>
      <c r="N40" s="3"/>
    </row>
    <row r="41" spans="1:54" ht="32.25" customHeight="1" thickBot="1" x14ac:dyDescent="0.45">
      <c r="B41" s="97"/>
      <c r="C41" s="6"/>
      <c r="D41" s="7" t="s">
        <v>0</v>
      </c>
      <c r="E41" s="7"/>
      <c r="F41" s="7"/>
      <c r="G41" s="7"/>
      <c r="H41" s="607" t="s">
        <v>75</v>
      </c>
      <c r="I41" s="608"/>
      <c r="J41" s="138" t="s">
        <v>64</v>
      </c>
      <c r="K41" s="8" t="s">
        <v>96</v>
      </c>
      <c r="L41" s="8" t="str">
        <f ca="1" xml:space="preserve"> "Useful Service Life" &amp; Break &amp; "(years)"</f>
        <v>Useful Service Life
(years)</v>
      </c>
      <c r="M41" s="8" t="s">
        <v>13</v>
      </c>
      <c r="N41" s="96"/>
      <c r="O41" s="110"/>
      <c r="U41" s="65"/>
      <c r="V41" s="65"/>
      <c r="W41" s="65"/>
    </row>
    <row r="42" spans="1:54" ht="15.05" customHeight="1" x14ac:dyDescent="0.3">
      <c r="B42" s="89" t="s">
        <v>3</v>
      </c>
      <c r="C42" s="611" t="str">
        <f>"Depreciation  on building: "</f>
        <v xml:space="preserve">Depreciation  on building: </v>
      </c>
      <c r="D42" s="612"/>
      <c r="E42" s="612"/>
      <c r="F42" s="612"/>
      <c r="G42" s="613"/>
      <c r="H42" s="609" t="str">
        <f>IF(AND(ExistingHouse,Purchasedate &gt; DATE(1901,,)), Purchasedate, IF(AND(NewConstruction, ConstructionCompletionDate &gt; DATE(1901,,)), ConstructionCompletionDate, ""))</f>
        <v/>
      </c>
      <c r="I42" s="610"/>
      <c r="J42" s="40">
        <f xml:space="preserve"> IF(AND(PurchasePrice&gt;0, ConstructionCost&gt;0), "See Errors in #5", IF(PurchasePrice&gt;0,PurchasePrice,IF(ConstructionCost&gt;0,ConstructionCost,0)))</f>
        <v>0</v>
      </c>
      <c r="K42" s="40">
        <f ca="1">IF(DATEDIF(Purchasedate,NOW(),"M")&gt;=330,0,IF(K38&gt;0,K38,IF(K39&gt;0,K39,0)))</f>
        <v>0</v>
      </c>
      <c r="L42" s="47">
        <v>27.5</v>
      </c>
      <c r="M42" s="38">
        <f ca="1">IF(L42&gt;0,ROUND(K42/L42,0),0)</f>
        <v>0</v>
      </c>
      <c r="N42" s="76"/>
      <c r="O42" s="21"/>
      <c r="U42" s="65"/>
      <c r="V42" s="65"/>
      <c r="W42" s="65"/>
      <c r="AZ42" s="65"/>
      <c r="BA42" s="65"/>
      <c r="BB42" s="65"/>
    </row>
    <row r="43" spans="1:54" ht="15.85" customHeight="1" x14ac:dyDescent="0.4">
      <c r="B43" s="89" t="s">
        <v>4</v>
      </c>
      <c r="C43" s="614"/>
      <c r="D43" s="615"/>
      <c r="E43" s="615"/>
      <c r="F43" s="615"/>
      <c r="G43" s="616"/>
      <c r="H43" s="600"/>
      <c r="I43" s="601"/>
      <c r="J43" s="118"/>
      <c r="K43" s="118"/>
      <c r="L43" s="119"/>
      <c r="M43" s="38">
        <f t="shared" ref="M43:M49" si="2">IF(L43&gt;0,ROUND(K43/L43,0),0)</f>
        <v>0</v>
      </c>
      <c r="N43" s="76"/>
      <c r="O43" s="56"/>
      <c r="U43" s="65"/>
      <c r="V43" s="65"/>
      <c r="W43" s="65"/>
    </row>
    <row r="44" spans="1:54" ht="15.85" customHeight="1" x14ac:dyDescent="0.3">
      <c r="B44" s="89" t="s">
        <v>5</v>
      </c>
      <c r="C44" s="614"/>
      <c r="D44" s="615"/>
      <c r="E44" s="615"/>
      <c r="F44" s="615"/>
      <c r="G44" s="616"/>
      <c r="H44" s="600"/>
      <c r="I44" s="601"/>
      <c r="J44" s="118"/>
      <c r="K44" s="118"/>
      <c r="L44" s="120"/>
      <c r="M44" s="38">
        <f t="shared" si="2"/>
        <v>0</v>
      </c>
      <c r="N44" s="76"/>
      <c r="O44" s="21"/>
    </row>
    <row r="45" spans="1:54" ht="15.85" customHeight="1" x14ac:dyDescent="0.3">
      <c r="B45" s="89" t="s">
        <v>6</v>
      </c>
      <c r="C45" s="614"/>
      <c r="D45" s="615"/>
      <c r="E45" s="615"/>
      <c r="F45" s="615"/>
      <c r="G45" s="616"/>
      <c r="H45" s="600"/>
      <c r="I45" s="601"/>
      <c r="J45" s="118"/>
      <c r="K45" s="118"/>
      <c r="L45" s="119"/>
      <c r="M45" s="38">
        <f t="shared" si="2"/>
        <v>0</v>
      </c>
      <c r="N45" s="76"/>
      <c r="O45" s="20" t="str">
        <f ca="1">IF(AND(J42&gt;1,M42&lt;1),"?","")</f>
        <v/>
      </c>
    </row>
    <row r="46" spans="1:54" ht="15.85" customHeight="1" x14ac:dyDescent="0.3">
      <c r="B46" s="89" t="s">
        <v>7</v>
      </c>
      <c r="C46" s="614"/>
      <c r="D46" s="615"/>
      <c r="E46" s="615"/>
      <c r="F46" s="615"/>
      <c r="G46" s="616"/>
      <c r="H46" s="600"/>
      <c r="I46" s="601"/>
      <c r="J46" s="118"/>
      <c r="K46" s="118"/>
      <c r="L46" s="120"/>
      <c r="M46" s="38">
        <f t="shared" si="2"/>
        <v>0</v>
      </c>
      <c r="N46" s="76"/>
      <c r="O46" s="21"/>
    </row>
    <row r="47" spans="1:54" ht="15.85" customHeight="1" x14ac:dyDescent="0.3">
      <c r="B47" s="89" t="s">
        <v>15</v>
      </c>
      <c r="C47" s="614"/>
      <c r="D47" s="615"/>
      <c r="E47" s="615"/>
      <c r="F47" s="615"/>
      <c r="G47" s="616"/>
      <c r="H47" s="600"/>
      <c r="I47" s="601"/>
      <c r="J47" s="118"/>
      <c r="K47" s="118"/>
      <c r="L47" s="119"/>
      <c r="M47" s="38">
        <f t="shared" si="2"/>
        <v>0</v>
      </c>
      <c r="N47" s="76"/>
      <c r="O47" s="21"/>
    </row>
    <row r="48" spans="1:54" ht="15.85" customHeight="1" x14ac:dyDescent="0.3">
      <c r="B48" s="89" t="s">
        <v>16</v>
      </c>
      <c r="C48" s="614"/>
      <c r="D48" s="615"/>
      <c r="E48" s="615"/>
      <c r="F48" s="615"/>
      <c r="G48" s="616"/>
      <c r="H48" s="600"/>
      <c r="I48" s="601"/>
      <c r="J48" s="118"/>
      <c r="K48" s="118"/>
      <c r="L48" s="121"/>
      <c r="M48" s="38">
        <f t="shared" si="2"/>
        <v>0</v>
      </c>
      <c r="N48" s="76"/>
      <c r="O48" s="234"/>
      <c r="P48" s="234"/>
    </row>
    <row r="49" spans="1:29" ht="15.85" customHeight="1" thickBot="1" x14ac:dyDescent="0.35">
      <c r="B49" s="89" t="s">
        <v>17</v>
      </c>
      <c r="C49" s="597"/>
      <c r="D49" s="598"/>
      <c r="E49" s="598"/>
      <c r="F49" s="598"/>
      <c r="G49" s="599"/>
      <c r="H49" s="536"/>
      <c r="I49" s="537"/>
      <c r="J49" s="118"/>
      <c r="K49" s="118"/>
      <c r="L49" s="121"/>
      <c r="M49" s="38">
        <f t="shared" si="2"/>
        <v>0</v>
      </c>
      <c r="N49" s="76"/>
      <c r="O49" s="234"/>
      <c r="P49" s="234"/>
    </row>
    <row r="50" spans="1:29" ht="14" thickBot="1" x14ac:dyDescent="0.35">
      <c r="C50" s="9" t="s">
        <v>8</v>
      </c>
      <c r="D50" s="10"/>
      <c r="E50" s="10"/>
      <c r="F50" s="10"/>
      <c r="G50" s="10"/>
      <c r="H50" s="10"/>
      <c r="I50" s="10"/>
      <c r="J50" s="11"/>
      <c r="K50" s="11"/>
      <c r="L50" s="258" t="s">
        <v>712</v>
      </c>
      <c r="M50" s="39">
        <f ca="1">SUM(M42:M49)</f>
        <v>0</v>
      </c>
      <c r="N50" s="76"/>
      <c r="O50" s="234" t="s">
        <v>731</v>
      </c>
      <c r="P50" s="234"/>
    </row>
    <row r="51" spans="1:29" ht="30.1" customHeight="1" x14ac:dyDescent="0.3">
      <c r="B51" s="3" t="s">
        <v>14</v>
      </c>
      <c r="C51" s="4" t="s">
        <v>56</v>
      </c>
      <c r="D51" s="4"/>
      <c r="E51" s="4"/>
      <c r="F51" s="4"/>
      <c r="G51" s="4"/>
      <c r="H51" s="4"/>
      <c r="I51" s="4"/>
      <c r="J51" s="540"/>
      <c r="K51" s="540"/>
      <c r="L51" s="140"/>
      <c r="M51" s="42"/>
      <c r="N51" s="42"/>
      <c r="O51" s="372">
        <f>IF(AND(Purchase=TRUE,J57&lt;3000),J57,IF(AND(Purchase=TRUE,J57&gt;=3000),3000,IF(AND(Lease=TRUE,D18&lt;4,J57&gt;=750),750,IF(AND(Lease=TRUE,D18&lt;4,J57&lt;750),J57,IF(AND(Lease=TRUE,D18&gt;=4,J57&gt;=1000),1000,IF(AND(Lease=TRUE,D18&gt;=4,J57&lt;1000),J57,IF(AND(CapitalLease=TRUE,D18&lt;4,J57&gt;=750),750,IF(AND(CapitalLease=TRUE,D18&lt;4,J57&lt;750),J57,IF(AND(CapitalLease=TRUE,D18&gt;=4,J57&gt;=1000),1000,IF(AND(CapitalLease=TRUE,D18&gt;=4,J57&lt;1000),J57,0))))))))))</f>
        <v>0</v>
      </c>
      <c r="P51" s="234"/>
    </row>
    <row r="52" spans="1:29" ht="15.85" customHeight="1" thickBot="1" x14ac:dyDescent="0.35">
      <c r="C52" s="139" t="s">
        <v>62</v>
      </c>
      <c r="D52" s="43"/>
      <c r="E52" s="43"/>
      <c r="F52" s="43"/>
      <c r="G52" s="43"/>
      <c r="H52" s="43"/>
      <c r="I52" s="43"/>
      <c r="J52" s="43"/>
      <c r="K52" s="43"/>
      <c r="L52" s="215"/>
      <c r="M52" s="19">
        <f>PILT+AnnInterestExisting+AnnInterestConstr+AnnLeaseAmt</f>
        <v>0</v>
      </c>
      <c r="N52" s="76"/>
      <c r="O52" s="76"/>
      <c r="P52" s="21"/>
    </row>
    <row r="53" spans="1:29" ht="15.85" customHeight="1" thickBot="1" x14ac:dyDescent="0.35">
      <c r="C53" s="46" t="s">
        <v>60</v>
      </c>
      <c r="D53" s="41"/>
      <c r="E53" s="41"/>
      <c r="F53" s="41"/>
      <c r="G53" s="41"/>
      <c r="H53" s="41"/>
      <c r="I53" s="41"/>
      <c r="J53" s="41"/>
      <c r="K53" s="41"/>
      <c r="L53" s="44"/>
      <c r="M53" s="19">
        <f ca="1">TotalDepreciation</f>
        <v>0</v>
      </c>
      <c r="N53" s="76"/>
      <c r="O53" s="76"/>
      <c r="P53" s="151" t="s">
        <v>109</v>
      </c>
      <c r="Q53" s="153" t="s">
        <v>84</v>
      </c>
    </row>
    <row r="54" spans="1:29" ht="18.8" customHeight="1" x14ac:dyDescent="0.3">
      <c r="C54" s="250"/>
      <c r="D54" s="41"/>
      <c r="E54" s="41"/>
      <c r="F54" s="41"/>
      <c r="G54" s="41"/>
      <c r="H54" s="41"/>
      <c r="I54" s="12"/>
      <c r="J54" s="251" t="s">
        <v>711</v>
      </c>
      <c r="K54" s="252"/>
      <c r="L54" s="253" t="s">
        <v>738</v>
      </c>
      <c r="M54" s="249"/>
      <c r="N54" s="76"/>
      <c r="O54" s="76"/>
      <c r="P54" s="151"/>
      <c r="Q54" s="4"/>
    </row>
    <row r="55" spans="1:29" ht="15.85" customHeight="1" x14ac:dyDescent="0.4">
      <c r="B55" s="62"/>
      <c r="C55" s="142" t="s">
        <v>57</v>
      </c>
      <c r="D55" s="143"/>
      <c r="E55" s="143"/>
      <c r="F55" s="143"/>
      <c r="G55" s="143"/>
      <c r="H55" s="143"/>
      <c r="I55" s="84" t="str">
        <f>IF(J55&lt;1,"?","")</f>
        <v>?</v>
      </c>
      <c r="J55" s="117"/>
      <c r="K55" s="141"/>
      <c r="L55" s="58">
        <f>-(J55-M55)</f>
        <v>0</v>
      </c>
      <c r="M55" s="19">
        <f xml:space="preserve"> IF(ISBLANK(J55),0,  IF(AND(D18&lt;=3,J55&gt;=7000),7000,IF(AND(D18&lt;=3,J55&lt;7000),J55,IF(AND(D18&gt;=4,J55&gt;=11500),11500,IF(AND(D18&gt;=4,J55&lt;11500),J55)))))</f>
        <v>0</v>
      </c>
      <c r="N55" s="373"/>
      <c r="O55" s="148" t="s">
        <v>57</v>
      </c>
      <c r="P55" s="145"/>
      <c r="Q55" s="152">
        <f>M55+P55</f>
        <v>0</v>
      </c>
    </row>
    <row r="56" spans="1:29" ht="15.85" customHeight="1" x14ac:dyDescent="0.4">
      <c r="B56" s="62"/>
      <c r="C56" s="142" t="s">
        <v>58</v>
      </c>
      <c r="D56" s="143"/>
      <c r="E56" s="143"/>
      <c r="F56" s="143"/>
      <c r="G56" s="143"/>
      <c r="H56" s="143"/>
      <c r="I56" s="84" t="str">
        <f>IF(J56&lt;1,"?","")</f>
        <v>?</v>
      </c>
      <c r="J56" s="117"/>
      <c r="K56" s="57"/>
      <c r="L56" s="58">
        <f>-(J56-M56)</f>
        <v>0</v>
      </c>
      <c r="M56" s="19">
        <f>IF(ISBLANK(J56),0,IF(SiteTypeEntry=0,0,IF(SiteTypeEntry="5 or more unit building",IF(J56&lt;5000,J56,5000),IF(J56&lt;12000,J56,12000))))</f>
        <v>0</v>
      </c>
      <c r="N56" s="373"/>
      <c r="O56" s="148" t="s">
        <v>58</v>
      </c>
      <c r="P56" s="145"/>
      <c r="Q56" s="147">
        <f>M56+P56</f>
        <v>0</v>
      </c>
    </row>
    <row r="57" spans="1:29" ht="15.85" customHeight="1" x14ac:dyDescent="0.4">
      <c r="B57" s="62"/>
      <c r="C57" s="142" t="s">
        <v>557</v>
      </c>
      <c r="D57" s="143"/>
      <c r="E57" s="143"/>
      <c r="F57" s="143"/>
      <c r="G57" s="143"/>
      <c r="H57" s="143"/>
      <c r="I57" s="84" t="str">
        <f>IF(J57&lt;1,"?","")</f>
        <v>?</v>
      </c>
      <c r="J57" s="117"/>
      <c r="K57" s="57"/>
      <c r="L57" s="58">
        <f>IFERROR(-(J57-M57),0)</f>
        <v>0</v>
      </c>
      <c r="M57" s="58">
        <f>IFERROR(IF(InsCap &lt;J57, InsCap, J57),0)</f>
        <v>0</v>
      </c>
      <c r="N57" s="373"/>
      <c r="O57" s="148" t="s">
        <v>86</v>
      </c>
      <c r="P57" s="145"/>
      <c r="Q57" s="147">
        <f>M57+P57</f>
        <v>0</v>
      </c>
    </row>
    <row r="58" spans="1:29" ht="15.85" customHeight="1" x14ac:dyDescent="0.4">
      <c r="B58" s="62"/>
      <c r="C58" s="142" t="s">
        <v>65</v>
      </c>
      <c r="D58" s="143"/>
      <c r="E58" s="143"/>
      <c r="F58" s="143"/>
      <c r="G58" s="143"/>
      <c r="H58" s="143"/>
      <c r="I58" s="84" t="str">
        <f>IF(J58&lt;1,"?","")</f>
        <v>?</v>
      </c>
      <c r="J58" s="117"/>
      <c r="K58" s="57"/>
      <c r="L58" s="58">
        <f>-(J58-M58)</f>
        <v>0</v>
      </c>
      <c r="M58" s="19">
        <f xml:space="preserve"> IF(ISBLANK(J58), 0,   IF(AND(D18&lt;=3,J58&gt;=1200),1200,IF(AND(D18&lt;=3,J58&lt;1200),J58,IF(AND(D18&gt;=4,J58&gt;=1600),1600,IF(AND(D18&gt;=4,J58&lt;1600),J58)))))</f>
        <v>0</v>
      </c>
      <c r="N58" s="373"/>
      <c r="O58" s="148" t="s">
        <v>87</v>
      </c>
      <c r="P58" s="145"/>
      <c r="Q58" s="147">
        <f>M58+P58</f>
        <v>0</v>
      </c>
    </row>
    <row r="59" spans="1:29" ht="15.85" customHeight="1" thickBot="1" x14ac:dyDescent="0.45">
      <c r="B59" s="62"/>
      <c r="C59" s="142" t="s">
        <v>59</v>
      </c>
      <c r="D59" s="143"/>
      <c r="E59" s="143"/>
      <c r="F59" s="143"/>
      <c r="G59" s="143"/>
      <c r="H59" s="143"/>
      <c r="I59" s="84" t="str">
        <f>IF(J59&lt;1,"?","")</f>
        <v>?</v>
      </c>
      <c r="J59" s="117"/>
      <c r="K59" s="141"/>
      <c r="L59" s="58">
        <f>-(J59-M59)</f>
        <v>0</v>
      </c>
      <c r="M59" s="19">
        <f>IF(ISBLANK(J59),0,MIN(J59, TotalCapacity*9.15*365))</f>
        <v>0</v>
      </c>
      <c r="N59" s="373"/>
      <c r="O59" s="76"/>
      <c r="P59" s="157"/>
      <c r="Q59" s="147">
        <f>M59</f>
        <v>0</v>
      </c>
    </row>
    <row r="60" spans="1:29" s="68" customFormat="1" ht="14.25" customHeight="1" thickBot="1" x14ac:dyDescent="0.35">
      <c r="A60" s="187"/>
      <c r="C60" s="15"/>
      <c r="D60" s="144"/>
      <c r="E60" s="144"/>
      <c r="F60" s="144"/>
      <c r="G60" s="144"/>
      <c r="H60" s="545" t="s">
        <v>728</v>
      </c>
      <c r="I60" s="546"/>
      <c r="J60" s="543">
        <f>SUM(J55:J59)</f>
        <v>0</v>
      </c>
      <c r="K60" s="541" t="s">
        <v>83</v>
      </c>
      <c r="L60" s="543">
        <f>SUM(L55:L59)</f>
        <v>0</v>
      </c>
      <c r="M60" s="156"/>
      <c r="N60" s="146"/>
      <c r="O60" s="70" t="s">
        <v>88</v>
      </c>
      <c r="P60" s="150">
        <f>SUM(P55:P58)</f>
        <v>0</v>
      </c>
      <c r="Q60" s="154"/>
      <c r="S60" s="299"/>
    </row>
    <row r="61" spans="1:29" s="68" customFormat="1" ht="14.25" customHeight="1" thickBot="1" x14ac:dyDescent="0.35">
      <c r="A61" s="187"/>
      <c r="C61" s="15"/>
      <c r="H61" s="547"/>
      <c r="I61" s="548"/>
      <c r="J61" s="544"/>
      <c r="K61" s="542"/>
      <c r="L61" s="544"/>
      <c r="M61" s="156"/>
      <c r="N61" s="146"/>
      <c r="O61" s="146"/>
      <c r="P61" s="146"/>
      <c r="S61" s="299" t="s">
        <v>727</v>
      </c>
    </row>
    <row r="62" spans="1:29" ht="19.5" customHeight="1" thickBot="1" x14ac:dyDescent="0.35">
      <c r="C62" s="233" t="s">
        <v>615</v>
      </c>
      <c r="D62" s="68"/>
      <c r="E62" s="68"/>
      <c r="F62" s="68"/>
      <c r="G62" s="113"/>
      <c r="H62" s="113"/>
      <c r="J62" s="4"/>
      <c r="K62" s="4"/>
      <c r="L62" s="205" t="s">
        <v>730</v>
      </c>
      <c r="M62" s="19">
        <f ca="1">Q62</f>
        <v>0</v>
      </c>
      <c r="N62" s="76"/>
      <c r="O62" s="538" t="s">
        <v>85</v>
      </c>
      <c r="P62" s="539"/>
      <c r="Q62" s="155">
        <f ca="1">SUM(M52:M53,Q55:Q59)</f>
        <v>0</v>
      </c>
      <c r="S62" s="297" t="s">
        <v>729</v>
      </c>
    </row>
    <row r="63" spans="1:29" ht="12.8" customHeight="1" thickBot="1" x14ac:dyDescent="0.4">
      <c r="B63" s="96"/>
      <c r="C63" s="557"/>
      <c r="D63" s="558"/>
      <c r="E63" s="558"/>
      <c r="F63" s="559"/>
      <c r="G63" s="113"/>
      <c r="H63" s="113"/>
      <c r="L63" s="13"/>
      <c r="M63" s="220"/>
      <c r="N63" s="13"/>
      <c r="O63" s="149"/>
      <c r="U63" s="49">
        <f>RegionalCap</f>
        <v>0</v>
      </c>
    </row>
    <row r="64" spans="1:29" ht="17.5" customHeight="1" thickBot="1" x14ac:dyDescent="0.4">
      <c r="C64" s="560"/>
      <c r="D64" s="561"/>
      <c r="E64" s="561"/>
      <c r="F64" s="562"/>
      <c r="G64" s="113"/>
      <c r="H64" s="21"/>
      <c r="J64" s="549" t="str">
        <f ca="1" xml:space="preserve"> "Monthly" &amp; Break &amp; "Rate /Person"</f>
        <v>Monthly
Rate /Person</v>
      </c>
      <c r="K64" s="577" t="str">
        <f xml:space="preserve">   IF(CapIsApplied,    "Calc. rate / person &gt; Regional Max Rate:", "Calculated monthly rate/person:" )</f>
        <v>Calculated monthly rate/person:</v>
      </c>
      <c r="L64" s="578"/>
      <c r="M64" s="210">
        <f xml:space="preserve"> IF(ISBLANK(TotalCapacity), 0, ROUND(AnnTotal/12/TotalCapacity,0))</f>
        <v>0</v>
      </c>
      <c r="N64" s="149"/>
      <c r="O64" s="49" t="e">
        <f>InsCap</f>
        <v>#N/A</v>
      </c>
      <c r="T64" s="49">
        <f>LEN(TRIM(ActiveCap))</f>
        <v>0</v>
      </c>
      <c r="V64" s="49" t="s">
        <v>609</v>
      </c>
      <c r="AC64" s="368">
        <f xml:space="preserve"> IF(ISBLANK(TotalCapacity), 0, ROUND(AnnTotal/12/TotalCapacity,0))</f>
        <v>0</v>
      </c>
    </row>
    <row r="65" spans="1:53" ht="15.75" customHeight="1" thickBot="1" x14ac:dyDescent="0.4">
      <c r="C65" s="560"/>
      <c r="D65" s="561"/>
      <c r="E65" s="561"/>
      <c r="F65" s="562"/>
      <c r="G65" s="113"/>
      <c r="H65" s="113"/>
      <c r="J65" s="579"/>
      <c r="K65" s="577" t="str">
        <f>IF(ISNUMBER(ActiveCap),RateTextValue,"")</f>
        <v/>
      </c>
      <c r="L65" s="578"/>
      <c r="M65" s="210" t="str">
        <f>IFERROR(IF(RateCapValue &lt;PerPersonBeforeOfffsets,  RateCapValue, ""),"")</f>
        <v/>
      </c>
      <c r="N65" s="149"/>
      <c r="O65" s="49" t="e">
        <f xml:space="preserve">   IF(RateCapValue &lt;PerPersonBeforeOfffsets,  RateCapValue, "")</f>
        <v>#N/A</v>
      </c>
      <c r="T65" s="49" t="b">
        <f>CAPExemption</f>
        <v>0</v>
      </c>
      <c r="U65" s="49" t="b">
        <f>ISNA(ActiveCap)</f>
        <v>0</v>
      </c>
      <c r="V65" s="49" t="s">
        <v>610</v>
      </c>
      <c r="AB65" s="49" t="s">
        <v>775</v>
      </c>
      <c r="AC65" s="368" t="str">
        <f xml:space="preserve">  IF((DDSRes + DDSABI + MCBRes + MRCRes = 1),     IF(RateCapValue &lt;PerPersonBeforeOfffsets,  RateCapValue, ""), "check agency!")</f>
        <v>check agency!</v>
      </c>
    </row>
    <row r="66" spans="1:53" s="21" customFormat="1" ht="27" customHeight="1" thickBot="1" x14ac:dyDescent="0.35">
      <c r="A66" s="185"/>
      <c r="B66" s="112"/>
      <c r="C66" s="560"/>
      <c r="D66" s="561"/>
      <c r="E66" s="561"/>
      <c r="F66" s="562"/>
      <c r="G66" s="113"/>
      <c r="H66" s="113"/>
      <c r="J66" s="549" t="str">
        <f ca="1" xml:space="preserve"> "Monthly Rate" &amp; Break &amp; "for Total ALTR-Funded Capacity"</f>
        <v>Monthly Rate
for Total ALTR-Funded Capacity</v>
      </c>
      <c r="K66" s="551" t="str">
        <f ca="1" xml:space="preserve"> IF(ISBLANK(ExceptionRate),  IF(AND(RegionalCap &gt; 0,  RegionalCap &lt; PerPersonBeforeOfffsets, ISNUMBER(RateCapValue)), "Total Monthly Billing for ALTR-funded capacity with "&amp; K65, "Total Monthly billing for ALTR-" &amp; Break &amp; "funded capacity before offsets:"),"Total Monthly Rate based on" &amp; Break &amp; "GRANTED  EXCEPTION")</f>
        <v>Total Monthly billing for ALTR-
funded capacity before offsets:</v>
      </c>
      <c r="L66" s="552"/>
      <c r="M66" s="555">
        <f>IF(ExceptionRate&gt;0, ExceptionRate * ALTRCapacity,  IF(  (ISNUMBER(ActiveCap)), ActiveCap * ALTRCapacity,  PerPersonBeforeOfffsets*ALTRCapacity))</f>
        <v>0</v>
      </c>
      <c r="N66" s="137"/>
      <c r="O66" s="21">
        <f>IF(ActiveCap &gt;0,  IFERROR(ActiveCap * ALTRCapacity,0),IFERROR(PerPersonBeforeOfffsets*ALTRCapacity,0))</f>
        <v>0</v>
      </c>
      <c r="P66" s="21">
        <f>PerPersonBeforeOfffsets*ALTRCapacity</f>
        <v>0</v>
      </c>
      <c r="Q66" s="21">
        <f>IF(ISNUMBER(ActiveCap),  IFERROR(ActiveCap * ALTRCapacity,0),IFERROR(PerPersonBeforeOfffsets*ALTRCapacity,0))</f>
        <v>0</v>
      </c>
      <c r="S66" s="297"/>
      <c r="T66" s="21" t="s">
        <v>614</v>
      </c>
      <c r="V66" s="21" t="s">
        <v>612</v>
      </c>
      <c r="AC66" s="369">
        <f>IF(ISNUMBER(ActiveCap),  IFERROR(ActiveCap * ALTRCapacity,0),IFERROR(PerPersonBeforeOfffsets*ALTRCapacity,0))</f>
        <v>0</v>
      </c>
    </row>
    <row r="67" spans="1:53" s="21" customFormat="1" ht="17.5" customHeight="1" thickBot="1" x14ac:dyDescent="0.4">
      <c r="A67" s="185"/>
      <c r="B67" s="112"/>
      <c r="C67" s="560"/>
      <c r="D67" s="561"/>
      <c r="E67" s="561"/>
      <c r="F67" s="562"/>
      <c r="G67" s="113"/>
      <c r="H67" s="113"/>
      <c r="I67" s="116"/>
      <c r="J67" s="550"/>
      <c r="K67" s="553"/>
      <c r="L67" s="554"/>
      <c r="M67" s="556"/>
      <c r="O67" s="136">
        <f>IF(ISNUMBER(ActiveCap),  IFERROR(ActiveCap * ALTRCapacity,0),IFERROR(PerPersonBeforeOfffsets*ALTRCapacity,0))</f>
        <v>0</v>
      </c>
      <c r="P67" s="21">
        <f>PerPersonBeforeOfffsets*ALTRCapacity</f>
        <v>0</v>
      </c>
      <c r="S67" s="297"/>
    </row>
    <row r="68" spans="1:53" s="21" customFormat="1" ht="42.05" customHeight="1" thickBot="1" x14ac:dyDescent="0.4">
      <c r="A68" s="185"/>
      <c r="B68" s="112"/>
      <c r="C68" s="563"/>
      <c r="D68" s="564"/>
      <c r="E68" s="564"/>
      <c r="F68" s="565"/>
      <c r="G68" s="113"/>
      <c r="H68" s="113"/>
      <c r="I68" s="116"/>
      <c r="J68" s="566" t="str">
        <f>IF(ISBLANK(ExceptionRate), "Agency Use Only- intentionally left blank   - &gt;", " Exception Overide: Total Monthly Rate PER PERSON" &amp; Break &amp; " Granted as an Exception under 101 CMR 420.03(7)(d)2.b. and c:")</f>
        <v>Agency Use Only- intentionally left blank   - &gt;</v>
      </c>
      <c r="K68" s="567"/>
      <c r="L68" s="568"/>
      <c r="M68" s="212"/>
      <c r="O68" s="211"/>
      <c r="P68" s="21" t="e">
        <f>ActiveCap * ALTRCapacity</f>
        <v>#VALUE!</v>
      </c>
      <c r="Q68" s="21">
        <f>PerPersonBeforeOfffsets</f>
        <v>0</v>
      </c>
      <c r="S68" s="297"/>
    </row>
    <row r="69" spans="1:53" s="21" customFormat="1" ht="17.5" customHeight="1" thickBot="1" x14ac:dyDescent="0.4">
      <c r="A69" s="185"/>
      <c r="B69" s="167"/>
      <c r="C69" s="168"/>
      <c r="D69" s="169"/>
      <c r="E69" s="168"/>
      <c r="F69" s="170"/>
      <c r="G69" s="168"/>
      <c r="H69" s="171"/>
      <c r="I69" s="171"/>
      <c r="J69" s="163"/>
      <c r="K69" s="199"/>
      <c r="L69" s="163"/>
      <c r="M69" s="137"/>
      <c r="N69" s="137"/>
      <c r="S69" s="297"/>
    </row>
    <row r="70" spans="1:53" ht="17.5" customHeight="1" x14ac:dyDescent="0.3">
      <c r="B70" s="96" t="s">
        <v>72</v>
      </c>
      <c r="C70" s="589" t="s">
        <v>99</v>
      </c>
      <c r="D70" s="590"/>
      <c r="E70" s="590"/>
      <c r="F70" s="590"/>
      <c r="G70" s="590"/>
      <c r="H70" s="590"/>
      <c r="I70" s="590"/>
      <c r="J70" s="590"/>
      <c r="K70" s="590"/>
      <c r="L70" s="590"/>
      <c r="M70" s="591"/>
      <c r="N70" s="96"/>
      <c r="O70" s="20"/>
    </row>
    <row r="71" spans="1:53" ht="25.55" customHeight="1" thickBot="1" x14ac:dyDescent="0.35">
      <c r="B71" s="45"/>
      <c r="C71" s="592"/>
      <c r="D71" s="593"/>
      <c r="E71" s="593"/>
      <c r="F71" s="593"/>
      <c r="G71" s="593"/>
      <c r="H71" s="593"/>
      <c r="I71" s="593"/>
      <c r="J71" s="593"/>
      <c r="K71" s="593"/>
      <c r="L71" s="593"/>
      <c r="M71" s="594"/>
      <c r="N71" s="96"/>
      <c r="O71" s="20"/>
    </row>
    <row r="72" spans="1:53" ht="9.8000000000000007" customHeight="1" x14ac:dyDescent="0.3">
      <c r="B72" s="14"/>
      <c r="C72" s="14"/>
      <c r="D72" s="14"/>
      <c r="O72" s="21"/>
    </row>
    <row r="73" spans="1:53" s="68" customFormat="1" ht="27.8" customHeight="1" x14ac:dyDescent="0.4">
      <c r="A73" s="192"/>
      <c r="B73" s="15"/>
      <c r="C73" s="214" t="s">
        <v>69</v>
      </c>
      <c r="D73" s="516"/>
      <c r="E73" s="587"/>
      <c r="F73" s="588"/>
      <c r="G73" s="107" t="str">
        <f>IF(LEN($D$73)&lt;1,"&lt; ENTER NAME"," ")</f>
        <v>&lt; ENTER NAME</v>
      </c>
      <c r="I73" s="97" t="s">
        <v>31</v>
      </c>
      <c r="J73" s="516"/>
      <c r="K73" s="588"/>
      <c r="L73" s="97" t="s">
        <v>32</v>
      </c>
      <c r="M73" s="232"/>
      <c r="N73" s="158"/>
      <c r="O73" s="85"/>
      <c r="Q73" s="49"/>
      <c r="R73" s="49"/>
      <c r="S73" s="297"/>
    </row>
    <row r="74" spans="1:53" s="63" customFormat="1" ht="18" customHeight="1" x14ac:dyDescent="0.4">
      <c r="A74" s="191"/>
      <c r="B74" s="69"/>
      <c r="C74" s="70" t="s">
        <v>63</v>
      </c>
      <c r="D74" s="70"/>
      <c r="E74" s="70"/>
      <c r="F74" s="70"/>
      <c r="G74" s="70"/>
      <c r="H74" s="70"/>
      <c r="I74" s="70"/>
      <c r="J74" s="576" t="str">
        <f>IF(LEN($J$73)&lt;1,"TITLE?"," ")</f>
        <v>TITLE?</v>
      </c>
      <c r="K74" s="576"/>
      <c r="L74" s="69"/>
      <c r="M74" s="85" t="str">
        <f>IF(LEN($M$73)&lt;1,"?"," ")</f>
        <v>?</v>
      </c>
      <c r="N74" s="85"/>
      <c r="O74" s="65"/>
      <c r="Q74" s="49"/>
      <c r="R74" s="49"/>
      <c r="S74" s="297"/>
    </row>
    <row r="75" spans="1:53" s="68" customFormat="1" ht="27" customHeight="1" x14ac:dyDescent="0.4">
      <c r="A75" s="193"/>
      <c r="B75" s="74"/>
      <c r="C75" s="213" t="s">
        <v>558</v>
      </c>
      <c r="D75" s="584"/>
      <c r="E75" s="585"/>
      <c r="F75" s="586"/>
      <c r="G75" s="107" t="str">
        <f>IF(LEN($D$75)&lt;1,"&lt; ENTER NAME"," ")</f>
        <v>&lt; ENTER NAME</v>
      </c>
      <c r="I75" s="97"/>
      <c r="J75" s="595" t="s">
        <v>873</v>
      </c>
      <c r="K75" s="596"/>
      <c r="L75" s="97" t="s">
        <v>32</v>
      </c>
      <c r="M75" s="401"/>
      <c r="N75" s="159"/>
      <c r="O75" s="85"/>
      <c r="Q75" s="49"/>
      <c r="R75" s="49"/>
      <c r="S75" s="297"/>
      <c r="BA75" s="49"/>
    </row>
    <row r="76" spans="1:53" ht="18" customHeight="1" x14ac:dyDescent="0.4">
      <c r="B76" s="4"/>
      <c r="C76" s="70" t="s">
        <v>100</v>
      </c>
      <c r="D76" s="70"/>
      <c r="E76" s="70"/>
      <c r="F76" s="70"/>
      <c r="G76" s="70"/>
      <c r="H76" s="70"/>
      <c r="I76" s="70"/>
      <c r="J76" s="575" t="str">
        <f>IF(LEN($J$75)&lt;1,"TITLE?"," ")</f>
        <v xml:space="preserve"> </v>
      </c>
      <c r="K76" s="575"/>
      <c r="L76" s="4"/>
      <c r="M76" s="402" t="str">
        <f>IF(LEN($M$75)&lt;1,"?"," ")</f>
        <v>?</v>
      </c>
      <c r="N76" s="85"/>
      <c r="O76" s="21"/>
    </row>
    <row r="77" spans="1:53" ht="5.25" customHeight="1" x14ac:dyDescent="0.3">
      <c r="B77" s="4"/>
      <c r="C77" s="82"/>
      <c r="D77" s="81"/>
      <c r="E77" s="81"/>
      <c r="F77" s="81"/>
      <c r="G77" s="81"/>
      <c r="H77" s="81"/>
      <c r="I77" s="81"/>
      <c r="J77" s="81"/>
      <c r="K77" s="81"/>
      <c r="L77" s="81"/>
      <c r="M77" s="83"/>
      <c r="O77" s="21"/>
    </row>
    <row r="78" spans="1:53" ht="13.6" customHeight="1" x14ac:dyDescent="0.4">
      <c r="B78" s="3" t="s">
        <v>102</v>
      </c>
      <c r="C78" s="259" t="s">
        <v>713</v>
      </c>
      <c r="J78" s="630" t="str">
        <f ca="1">IF(OR(INT(MoveinDTProj)-INT(NOW())&gt;13,ISBLANK(MoveinDTProj)),"Do not submit this ORA more than two weeks before the move-in date","")</f>
        <v>Do not submit this ORA more than two weeks before the move-in date</v>
      </c>
      <c r="K78" s="631"/>
      <c r="L78" s="631"/>
      <c r="M78" s="632"/>
      <c r="N78" s="59"/>
      <c r="O78" s="21"/>
    </row>
    <row r="79" spans="1:53" ht="16.55" customHeight="1" x14ac:dyDescent="0.4">
      <c r="B79" s="13"/>
      <c r="C79" s="55"/>
      <c r="E79" s="400" t="s">
        <v>30</v>
      </c>
      <c r="F79" s="379"/>
      <c r="G79" s="59" t="str">
        <f>IF($F$79&lt;1,"?","")</f>
        <v>?</v>
      </c>
      <c r="H79" s="59"/>
      <c r="I79" s="59"/>
      <c r="K79" s="400" t="s">
        <v>55</v>
      </c>
      <c r="L79" s="399"/>
      <c r="M79" s="60" t="str">
        <f>IF(L79&lt;1,"&lt;&lt;- Required","")</f>
        <v>&lt;&lt;- Required</v>
      </c>
      <c r="N79" s="59"/>
      <c r="O79" s="21"/>
    </row>
    <row r="80" spans="1:53" ht="5.25" customHeight="1" x14ac:dyDescent="0.3">
      <c r="C80" s="172"/>
      <c r="D80" s="173"/>
      <c r="E80" s="173"/>
      <c r="F80" s="173"/>
      <c r="G80" s="173"/>
      <c r="H80" s="173"/>
      <c r="I80" s="173"/>
      <c r="J80" s="173"/>
      <c r="K80" s="173"/>
      <c r="L80" s="173"/>
      <c r="M80" s="174"/>
    </row>
    <row r="81" ht="8.5" customHeight="1" x14ac:dyDescent="0.3"/>
    <row r="130" spans="2:32" ht="13.85" hidden="1" x14ac:dyDescent="0.3"/>
    <row r="131" spans="2:32" ht="13.85" hidden="1" x14ac:dyDescent="0.3"/>
    <row r="132" spans="2:32" ht="13.85" hidden="1" x14ac:dyDescent="0.3"/>
    <row r="133" spans="2:32" ht="13.85" hidden="1" x14ac:dyDescent="0.3"/>
    <row r="134" spans="2:32" ht="13.85" hidden="1" x14ac:dyDescent="0.3"/>
    <row r="135" spans="2:32" ht="14.4" hidden="1" x14ac:dyDescent="0.3">
      <c r="B135" s="21"/>
      <c r="C135" s="216" t="s">
        <v>627</v>
      </c>
      <c r="D135" s="216"/>
      <c r="E135" s="216"/>
      <c r="F135" s="235"/>
      <c r="G135" s="236"/>
      <c r="H135" s="236"/>
      <c r="J135" s="21"/>
      <c r="K135" s="21"/>
      <c r="L135" s="21"/>
      <c r="M135" s="21"/>
      <c r="N135" s="21"/>
      <c r="O135" s="21"/>
    </row>
    <row r="136" spans="2:32" ht="14.4" hidden="1" x14ac:dyDescent="0.3">
      <c r="B136" s="21"/>
      <c r="C136" s="337" t="s">
        <v>617</v>
      </c>
      <c r="D136" s="338" t="s">
        <v>618</v>
      </c>
      <c r="E136" s="338" t="s">
        <v>619</v>
      </c>
      <c r="F136" s="338" t="s">
        <v>620</v>
      </c>
      <c r="G136" s="382" t="s">
        <v>625</v>
      </c>
      <c r="H136" s="338" t="s">
        <v>716</v>
      </c>
      <c r="I136" s="506" t="s">
        <v>714</v>
      </c>
      <c r="J136" s="507"/>
      <c r="K136" s="247" t="s">
        <v>629</v>
      </c>
      <c r="L136" s="247" t="s">
        <v>630</v>
      </c>
      <c r="M136" s="234"/>
      <c r="N136" s="234"/>
      <c r="O136" s="234"/>
      <c r="P136" s="234"/>
      <c r="Q136" s="234"/>
      <c r="R136" s="234"/>
      <c r="T136" s="234"/>
      <c r="U136" s="234"/>
      <c r="W136" s="234"/>
      <c r="X136" s="234"/>
      <c r="Y136" s="234"/>
      <c r="Z136" s="234"/>
      <c r="AA136" s="234"/>
      <c r="AB136" s="234"/>
      <c r="AF136" s="234"/>
    </row>
    <row r="137" spans="2:32" ht="15.6" hidden="1" x14ac:dyDescent="0.3">
      <c r="C137" s="339" t="b">
        <v>1</v>
      </c>
      <c r="D137" s="340" t="b">
        <v>1</v>
      </c>
      <c r="E137" s="340" t="b">
        <v>1</v>
      </c>
      <c r="F137" s="340" t="b">
        <v>1</v>
      </c>
      <c r="G137" s="383" t="str">
        <f xml:space="preserve"> C137 &amp; "_" &amp; D137 &amp;"_"&amp; E137 &amp; "_" &amp; F137</f>
        <v>TRUE_TRUE_TRUE_TRUE</v>
      </c>
      <c r="H137" s="341">
        <v>3069</v>
      </c>
      <c r="I137" s="498" t="s">
        <v>864</v>
      </c>
      <c r="J137" s="499"/>
      <c r="K137" s="247" t="s">
        <v>616</v>
      </c>
      <c r="L137" s="371" t="str">
        <f>(ContractType = 2) &amp; "_" &amp; CapitalLease&amp;"_"&amp; SiteApprovalGTEQFY19&amp; "_" &amp; CEDACAPPLIED</f>
        <v>FALSE_FALSE_TRUE_FALSE</v>
      </c>
      <c r="N137" s="234"/>
      <c r="O137" s="234"/>
      <c r="P137" s="234"/>
      <c r="Q137" s="234"/>
      <c r="R137" s="234"/>
      <c r="T137" s="234"/>
      <c r="U137" s="234"/>
      <c r="W137" s="234"/>
      <c r="X137" s="234"/>
      <c r="Y137" s="234"/>
      <c r="Z137" s="234"/>
      <c r="AA137" s="234"/>
      <c r="AB137" s="234"/>
      <c r="AF137" s="234"/>
    </row>
    <row r="138" spans="2:32" ht="14.4" hidden="1" x14ac:dyDescent="0.3">
      <c r="C138" s="339" t="b">
        <v>1</v>
      </c>
      <c r="D138" s="340" t="b">
        <v>1</v>
      </c>
      <c r="E138" s="340" t="b">
        <v>1</v>
      </c>
      <c r="F138" s="340" t="b">
        <v>0</v>
      </c>
      <c r="G138" s="383" t="str">
        <f t="shared" ref="G138:G151" si="3" xml:space="preserve"> C138 &amp; "_" &amp; D138 &amp;"_"&amp; E138 &amp; "_" &amp; F138</f>
        <v>TRUE_TRUE_TRUE_FALSE</v>
      </c>
      <c r="H138" s="341">
        <v>2908</v>
      </c>
      <c r="I138" s="498" t="s">
        <v>865</v>
      </c>
      <c r="J138" s="499"/>
      <c r="K138" s="247" t="s">
        <v>621</v>
      </c>
      <c r="M138" s="234"/>
      <c r="N138" s="234"/>
      <c r="O138" s="234"/>
      <c r="P138" s="234"/>
      <c r="Q138" s="234"/>
      <c r="R138" s="234"/>
      <c r="T138" s="234"/>
      <c r="U138" s="234"/>
      <c r="W138" s="234"/>
      <c r="X138" s="234"/>
      <c r="Y138" s="234"/>
      <c r="Z138" s="234"/>
      <c r="AA138" s="234"/>
      <c r="AB138" s="234"/>
      <c r="AF138" s="234"/>
    </row>
    <row r="139" spans="2:32" ht="14.4" hidden="1" x14ac:dyDescent="0.3">
      <c r="C139" s="342" t="b">
        <v>1</v>
      </c>
      <c r="D139" s="343" t="b">
        <v>1</v>
      </c>
      <c r="E139" s="343" t="b">
        <v>0</v>
      </c>
      <c r="F139" s="343" t="b">
        <v>1</v>
      </c>
      <c r="G139" s="384" t="str">
        <f t="shared" si="3"/>
        <v>TRUE_TRUE_FALSE_TRUE</v>
      </c>
      <c r="H139" s="344" t="s">
        <v>53</v>
      </c>
      <c r="I139" s="498" t="s">
        <v>715</v>
      </c>
      <c r="J139" s="499"/>
      <c r="K139" s="248" t="s">
        <v>622</v>
      </c>
      <c r="M139" s="234"/>
      <c r="N139" s="234"/>
      <c r="O139" s="234"/>
      <c r="P139" s="234"/>
      <c r="Q139" s="234"/>
      <c r="R139" s="234"/>
      <c r="T139" s="234"/>
      <c r="U139" s="234"/>
      <c r="W139" s="234"/>
      <c r="X139" s="234"/>
      <c r="Y139" s="234"/>
      <c r="Z139" s="234"/>
      <c r="AA139" s="234"/>
      <c r="AB139" s="234"/>
      <c r="AF139" s="234"/>
    </row>
    <row r="140" spans="2:32" ht="14.4" hidden="1" x14ac:dyDescent="0.3">
      <c r="C140" s="342" t="b">
        <v>1</v>
      </c>
      <c r="D140" s="343" t="b">
        <v>1</v>
      </c>
      <c r="E140" s="343" t="b">
        <v>0</v>
      </c>
      <c r="F140" s="343" t="b">
        <v>0</v>
      </c>
      <c r="G140" s="384" t="str">
        <f t="shared" ref="G140" si="4" xml:space="preserve"> C140 &amp; "_" &amp; D140 &amp;"_"&amp; E140 &amp; "_" &amp; F140</f>
        <v>TRUE_TRUE_FALSE_FALSE</v>
      </c>
      <c r="H140" s="344" t="s">
        <v>53</v>
      </c>
      <c r="I140" s="498" t="s">
        <v>715</v>
      </c>
      <c r="J140" s="499"/>
      <c r="K140" s="248" t="s">
        <v>622</v>
      </c>
      <c r="M140" s="234"/>
      <c r="N140" s="234"/>
      <c r="O140" s="234"/>
      <c r="P140" s="234"/>
      <c r="Q140" s="234"/>
      <c r="R140" s="234"/>
      <c r="T140" s="234"/>
      <c r="U140" s="234"/>
      <c r="W140" s="234"/>
      <c r="X140" s="234"/>
      <c r="Y140" s="234"/>
      <c r="Z140" s="234"/>
      <c r="AA140" s="234"/>
      <c r="AB140" s="234"/>
      <c r="AF140" s="234"/>
    </row>
    <row r="141" spans="2:32" ht="14.4" hidden="1" x14ac:dyDescent="0.3">
      <c r="B141" s="21"/>
      <c r="C141" s="345" t="b">
        <v>1</v>
      </c>
      <c r="D141" s="346" t="b">
        <v>0</v>
      </c>
      <c r="E141" s="346" t="b">
        <v>1</v>
      </c>
      <c r="F141" s="346" t="b">
        <v>1</v>
      </c>
      <c r="G141" s="385" t="str">
        <f t="shared" si="3"/>
        <v>TRUE_FALSE_TRUE_TRUE</v>
      </c>
      <c r="H141" s="341">
        <v>3069</v>
      </c>
      <c r="I141" s="498" t="s">
        <v>864</v>
      </c>
      <c r="J141" s="499"/>
      <c r="K141" s="247" t="s">
        <v>621</v>
      </c>
      <c r="M141" s="161" t="s">
        <v>750</v>
      </c>
      <c r="N141" s="234"/>
      <c r="O141" s="234"/>
      <c r="P141" s="234"/>
      <c r="Q141" s="234"/>
      <c r="R141" s="234"/>
      <c r="T141" s="234"/>
      <c r="U141" s="234"/>
      <c r="W141" s="234"/>
      <c r="X141" s="234"/>
      <c r="Y141" s="234"/>
      <c r="Z141" s="234"/>
      <c r="AA141" s="234"/>
      <c r="AB141" s="234"/>
      <c r="AF141" s="234"/>
    </row>
    <row r="142" spans="2:32" ht="14.4" hidden="1" x14ac:dyDescent="0.3">
      <c r="B142" s="21"/>
      <c r="C142" s="345" t="b">
        <v>1</v>
      </c>
      <c r="D142" s="346" t="b">
        <v>0</v>
      </c>
      <c r="E142" s="346" t="b">
        <v>1</v>
      </c>
      <c r="F142" s="346" t="b">
        <v>0</v>
      </c>
      <c r="G142" s="385" t="str">
        <f t="shared" ref="G142" si="5" xml:space="preserve"> C142 &amp; "_" &amp; D142 &amp;"_"&amp; E142 &amp; "_" &amp; F142</f>
        <v>TRUE_FALSE_TRUE_FALSE</v>
      </c>
      <c r="H142" s="341">
        <v>2908</v>
      </c>
      <c r="I142" s="498" t="s">
        <v>866</v>
      </c>
      <c r="J142" s="499"/>
      <c r="K142" s="247" t="s">
        <v>621</v>
      </c>
      <c r="M142" s="234"/>
      <c r="N142" s="234"/>
      <c r="O142" s="234"/>
      <c r="P142" s="234"/>
      <c r="Q142" s="234"/>
      <c r="R142" s="234"/>
      <c r="T142" s="234"/>
      <c r="U142" s="234"/>
      <c r="W142" s="234"/>
      <c r="X142" s="234"/>
      <c r="Y142" s="234"/>
      <c r="Z142" s="234"/>
      <c r="AA142" s="234"/>
      <c r="AB142" s="234"/>
      <c r="AF142" s="234"/>
    </row>
    <row r="143" spans="2:32" ht="14.4" hidden="1" x14ac:dyDescent="0.3">
      <c r="B143" s="21"/>
      <c r="C143" s="347" t="b">
        <v>1</v>
      </c>
      <c r="D143" s="348" t="b">
        <v>0</v>
      </c>
      <c r="E143" s="348" t="b">
        <v>0</v>
      </c>
      <c r="F143" s="348" t="b">
        <v>1</v>
      </c>
      <c r="G143" s="386" t="str">
        <f t="shared" si="3"/>
        <v>TRUE_FALSE_FALSE_TRUE</v>
      </c>
      <c r="H143" s="344" t="s">
        <v>53</v>
      </c>
      <c r="I143" s="498" t="s">
        <v>715</v>
      </c>
      <c r="J143" s="499"/>
      <c r="K143" s="248" t="s">
        <v>622</v>
      </c>
      <c r="M143" s="234"/>
      <c r="N143" s="234"/>
      <c r="O143" s="234"/>
      <c r="P143" s="234"/>
      <c r="Q143" s="234"/>
      <c r="R143" s="234"/>
      <c r="T143" s="234"/>
      <c r="U143" s="234"/>
      <c r="W143" s="234"/>
      <c r="X143" s="234"/>
      <c r="Y143" s="234"/>
      <c r="Z143" s="234">
        <f>PerPersonBeforeOfffsets</f>
        <v>0</v>
      </c>
      <c r="AA143" s="234"/>
      <c r="AB143" s="234"/>
      <c r="AF143" s="234"/>
    </row>
    <row r="144" spans="2:32" ht="14.4" hidden="1" x14ac:dyDescent="0.3">
      <c r="B144" s="21"/>
      <c r="C144" s="347" t="b">
        <v>1</v>
      </c>
      <c r="D144" s="348" t="b">
        <v>0</v>
      </c>
      <c r="E144" s="348" t="b">
        <v>0</v>
      </c>
      <c r="F144" s="348" t="b">
        <v>0</v>
      </c>
      <c r="G144" s="386" t="str">
        <f t="shared" ref="G144" si="6" xml:space="preserve"> C144 &amp; "_" &amp; D144 &amp;"_"&amp; E144 &amp; "_" &amp; F144</f>
        <v>TRUE_FALSE_FALSE_FALSE</v>
      </c>
      <c r="H144" s="344" t="s">
        <v>53</v>
      </c>
      <c r="I144" s="498" t="s">
        <v>715</v>
      </c>
      <c r="J144" s="499"/>
      <c r="K144" s="248" t="s">
        <v>622</v>
      </c>
      <c r="M144" s="234"/>
      <c r="N144" s="234"/>
      <c r="O144" s="234"/>
      <c r="P144" s="234"/>
      <c r="Q144" s="234"/>
      <c r="R144" s="234"/>
      <c r="T144" s="234"/>
      <c r="U144" s="234"/>
      <c r="W144" s="234"/>
      <c r="X144" s="234"/>
      <c r="Y144" s="234"/>
      <c r="Z144" s="234"/>
      <c r="AA144" s="234"/>
      <c r="AB144" s="234"/>
      <c r="AF144" s="234"/>
    </row>
    <row r="145" spans="1:32" ht="14.4" hidden="1" x14ac:dyDescent="0.3">
      <c r="B145" s="21"/>
      <c r="C145" s="339" t="b">
        <v>0</v>
      </c>
      <c r="D145" s="340" t="b">
        <v>1</v>
      </c>
      <c r="E145" s="340" t="b">
        <v>1</v>
      </c>
      <c r="F145" s="340" t="b">
        <v>1</v>
      </c>
      <c r="G145" s="383" t="str">
        <f t="shared" si="3"/>
        <v>FALSE_TRUE_TRUE_TRUE</v>
      </c>
      <c r="H145" s="341" t="e">
        <f>RegCapPlus1</f>
        <v>#N/A</v>
      </c>
      <c r="I145" s="498" t="s">
        <v>781</v>
      </c>
      <c r="J145" s="499"/>
      <c r="K145" s="248" t="s">
        <v>623</v>
      </c>
      <c r="M145" s="161" t="s">
        <v>749</v>
      </c>
      <c r="N145" s="234"/>
      <c r="O145" s="234"/>
      <c r="P145" s="234"/>
      <c r="Q145" s="234"/>
      <c r="R145" s="234"/>
      <c r="T145" s="234"/>
      <c r="U145" s="234"/>
      <c r="W145" s="234"/>
      <c r="X145" s="234"/>
      <c r="Y145" s="234"/>
      <c r="Z145" s="234"/>
      <c r="AA145" s="234"/>
      <c r="AB145" s="234"/>
      <c r="AF145" s="234"/>
    </row>
    <row r="146" spans="1:32" ht="14.4" hidden="1" x14ac:dyDescent="0.3">
      <c r="B146" s="21"/>
      <c r="C146" s="339" t="b">
        <v>0</v>
      </c>
      <c r="D146" s="340" t="b">
        <v>1</v>
      </c>
      <c r="E146" s="340" t="b">
        <v>1</v>
      </c>
      <c r="F146" s="340" t="b">
        <v>0</v>
      </c>
      <c r="G146" s="383" t="str">
        <f t="shared" si="3"/>
        <v>FALSE_TRUE_TRUE_FALSE</v>
      </c>
      <c r="H146" s="341">
        <f>RegionalCap</f>
        <v>0</v>
      </c>
      <c r="I146" s="498" t="s">
        <v>719</v>
      </c>
      <c r="J146" s="499"/>
      <c r="K146" s="248" t="s">
        <v>624</v>
      </c>
      <c r="M146" s="234"/>
      <c r="N146" s="234"/>
      <c r="O146" s="234"/>
      <c r="P146" s="234"/>
      <c r="Q146" s="234"/>
      <c r="R146" s="234"/>
      <c r="T146" s="234"/>
      <c r="U146" s="234"/>
      <c r="W146" s="234"/>
      <c r="X146" s="234"/>
      <c r="Y146" s="234"/>
      <c r="Z146" s="234"/>
      <c r="AA146" s="234"/>
      <c r="AB146" s="234"/>
      <c r="AF146" s="234"/>
    </row>
    <row r="147" spans="1:32" ht="14.4" hidden="1" x14ac:dyDescent="0.3">
      <c r="B147" s="21"/>
      <c r="C147" s="349" t="b">
        <v>0</v>
      </c>
      <c r="D147" s="350" t="b">
        <v>1</v>
      </c>
      <c r="E147" s="350" t="b">
        <v>0</v>
      </c>
      <c r="F147" s="350" t="b">
        <v>1</v>
      </c>
      <c r="G147" s="387" t="str">
        <f t="shared" si="3"/>
        <v>FALSE_TRUE_FALSE_TRUE</v>
      </c>
      <c r="H147" s="344" t="s">
        <v>53</v>
      </c>
      <c r="I147" s="498" t="s">
        <v>715</v>
      </c>
      <c r="J147" s="499"/>
      <c r="K147" s="248" t="s">
        <v>622</v>
      </c>
      <c r="M147" s="234"/>
      <c r="N147" s="234"/>
      <c r="O147" s="234"/>
      <c r="P147" s="234"/>
      <c r="Q147" s="234"/>
      <c r="R147" s="234"/>
      <c r="T147" s="234"/>
      <c r="U147" s="234"/>
      <c r="W147" s="234"/>
      <c r="X147" s="234"/>
      <c r="Y147" s="234"/>
      <c r="Z147" s="234"/>
      <c r="AA147" s="234"/>
      <c r="AB147" s="234"/>
      <c r="AF147" s="234"/>
    </row>
    <row r="148" spans="1:32" ht="14.4" hidden="1" x14ac:dyDescent="0.3">
      <c r="B148" s="21"/>
      <c r="C148" s="349" t="b">
        <v>0</v>
      </c>
      <c r="D148" s="350" t="b">
        <v>1</v>
      </c>
      <c r="E148" s="350" t="b">
        <v>0</v>
      </c>
      <c r="F148" s="350" t="b">
        <v>0</v>
      </c>
      <c r="G148" s="387" t="str">
        <f t="shared" ref="G148" si="7" xml:space="preserve"> C148 &amp; "_" &amp; D148 &amp;"_"&amp; E148 &amp; "_" &amp; F148</f>
        <v>FALSE_TRUE_FALSE_FALSE</v>
      </c>
      <c r="H148" s="344" t="s">
        <v>53</v>
      </c>
      <c r="I148" s="498" t="s">
        <v>715</v>
      </c>
      <c r="J148" s="499"/>
      <c r="K148" s="248" t="s">
        <v>622</v>
      </c>
      <c r="M148" s="234"/>
      <c r="N148" s="234"/>
      <c r="O148" s="234"/>
      <c r="P148" s="234"/>
      <c r="Q148" s="234"/>
      <c r="R148" s="234"/>
      <c r="T148" s="234"/>
      <c r="U148" s="234"/>
      <c r="W148" s="234"/>
      <c r="X148" s="234"/>
      <c r="Y148" s="234"/>
      <c r="Z148" s="234"/>
      <c r="AA148" s="234"/>
      <c r="AB148" s="234"/>
      <c r="AF148" s="234"/>
    </row>
    <row r="149" spans="1:32" ht="14.4" hidden="1" x14ac:dyDescent="0.3">
      <c r="B149" s="21"/>
      <c r="C149" s="351" t="b">
        <v>0</v>
      </c>
      <c r="D149" s="352" t="b">
        <v>0</v>
      </c>
      <c r="E149" s="352" t="b">
        <v>1</v>
      </c>
      <c r="F149" s="352" t="b">
        <v>1</v>
      </c>
      <c r="G149" s="388" t="str">
        <f t="shared" si="3"/>
        <v>FALSE_FALSE_TRUE_TRUE</v>
      </c>
      <c r="H149" s="341" t="e">
        <f>RegCapPlus1</f>
        <v>#N/A</v>
      </c>
      <c r="I149" s="498" t="s">
        <v>781</v>
      </c>
      <c r="J149" s="499"/>
      <c r="K149" s="248" t="s">
        <v>624</v>
      </c>
      <c r="M149" s="161" t="s">
        <v>750</v>
      </c>
      <c r="N149" s="234"/>
      <c r="O149" s="234"/>
      <c r="P149" s="234"/>
      <c r="Q149" s="234"/>
      <c r="R149" s="234"/>
      <c r="T149" s="234"/>
      <c r="U149" s="234"/>
      <c r="W149" s="234"/>
      <c r="X149" s="234"/>
      <c r="Y149" s="234"/>
      <c r="Z149" s="234"/>
      <c r="AA149" s="234"/>
      <c r="AB149" s="234"/>
      <c r="AF149" s="234"/>
    </row>
    <row r="150" spans="1:32" ht="14.4" hidden="1" x14ac:dyDescent="0.3">
      <c r="B150" s="21"/>
      <c r="C150" s="351" t="b">
        <v>0</v>
      </c>
      <c r="D150" s="352" t="b">
        <v>0</v>
      </c>
      <c r="E150" s="352" t="b">
        <v>1</v>
      </c>
      <c r="F150" s="352" t="b">
        <v>0</v>
      </c>
      <c r="G150" s="388" t="str">
        <f t="shared" ref="G150" si="8" xml:space="preserve"> C150 &amp; "_" &amp; D150 &amp;"_"&amp; E150 &amp; "_" &amp; F150</f>
        <v>FALSE_FALSE_TRUE_FALSE</v>
      </c>
      <c r="H150" s="341" t="e">
        <f>RegCap</f>
        <v>#N/A</v>
      </c>
      <c r="I150" s="498" t="s">
        <v>719</v>
      </c>
      <c r="J150" s="499"/>
      <c r="K150" s="248" t="s">
        <v>624</v>
      </c>
      <c r="M150" s="234"/>
      <c r="N150" s="234"/>
      <c r="O150" s="234"/>
      <c r="P150" s="234"/>
      <c r="Q150" s="234"/>
      <c r="R150" s="234"/>
      <c r="T150" s="234"/>
      <c r="U150" s="234"/>
      <c r="W150" s="234"/>
      <c r="X150" s="234"/>
      <c r="Y150" s="234"/>
      <c r="Z150" s="234"/>
      <c r="AA150" s="234"/>
      <c r="AB150" s="234"/>
      <c r="AF150" s="234"/>
    </row>
    <row r="151" spans="1:32" ht="14.4" hidden="1" x14ac:dyDescent="0.3">
      <c r="B151" s="21"/>
      <c r="C151" s="353" t="b">
        <v>0</v>
      </c>
      <c r="D151" s="354" t="b">
        <v>0</v>
      </c>
      <c r="E151" s="354" t="b">
        <v>0</v>
      </c>
      <c r="F151" s="354" t="b">
        <v>1</v>
      </c>
      <c r="G151" s="389" t="str">
        <f t="shared" si="3"/>
        <v>FALSE_FALSE_FALSE_TRUE</v>
      </c>
      <c r="H151" s="344" t="s">
        <v>53</v>
      </c>
      <c r="I151" s="498" t="s">
        <v>715</v>
      </c>
      <c r="J151" s="499"/>
      <c r="K151" s="248" t="s">
        <v>622</v>
      </c>
      <c r="M151" s="234"/>
      <c r="N151" s="234"/>
      <c r="O151" s="234"/>
      <c r="P151" s="234"/>
      <c r="Q151" s="234"/>
      <c r="R151" s="234"/>
      <c r="T151" s="234"/>
      <c r="U151" s="234"/>
      <c r="W151" s="234"/>
      <c r="X151" s="234"/>
      <c r="Y151" s="234"/>
      <c r="Z151" s="234"/>
      <c r="AA151" s="234"/>
      <c r="AB151" s="234"/>
      <c r="AF151" s="234"/>
    </row>
    <row r="152" spans="1:32" ht="14.4" hidden="1" x14ac:dyDescent="0.3">
      <c r="B152" s="21"/>
      <c r="C152" s="355" t="b">
        <v>0</v>
      </c>
      <c r="D152" s="356" t="b">
        <v>0</v>
      </c>
      <c r="E152" s="356" t="b">
        <v>0</v>
      </c>
      <c r="F152" s="356" t="b">
        <v>0</v>
      </c>
      <c r="G152" s="390" t="str">
        <f t="shared" ref="G152" si="9" xml:space="preserve"> C152 &amp; "_" &amp; D152 &amp;"_"&amp; E152 &amp; "_" &amp; F152</f>
        <v>FALSE_FALSE_FALSE_FALSE</v>
      </c>
      <c r="H152" s="357" t="s">
        <v>53</v>
      </c>
      <c r="I152" s="500" t="s">
        <v>715</v>
      </c>
      <c r="J152" s="501"/>
      <c r="K152" s="248" t="s">
        <v>622</v>
      </c>
      <c r="M152" s="234"/>
      <c r="O152" s="234"/>
      <c r="P152" s="234"/>
      <c r="Q152" s="234"/>
      <c r="R152" s="234"/>
      <c r="T152" s="234"/>
      <c r="U152" s="234"/>
      <c r="W152" s="234"/>
      <c r="X152" s="234"/>
      <c r="Y152" s="234"/>
      <c r="Z152" s="234"/>
      <c r="AA152" s="234"/>
      <c r="AB152" s="234"/>
      <c r="AF152" s="234"/>
    </row>
    <row r="153" spans="1:32" ht="13.85" hidden="1" x14ac:dyDescent="0.3">
      <c r="B153" s="21"/>
    </row>
    <row r="154" spans="1:32" ht="13.85" hidden="1" x14ac:dyDescent="0.3">
      <c r="B154" s="21"/>
      <c r="G154" s="49" t="s">
        <v>717</v>
      </c>
      <c r="H154" s="370" t="e">
        <f xml:space="preserve">   VLOOKUP(( OR((ContractType = 2),MedicalIntensity,BehavioralIntensity)    &amp;"_"&amp;CapitalLease&amp;"_"&amp;SiteApprovalGTEQFY19&amp;"_"&amp;CEDACAPPLIED),RateAndCapLogicTable,2,FALSE)</f>
        <v>#N/A</v>
      </c>
    </row>
    <row r="155" spans="1:32" ht="13.85" hidden="1" x14ac:dyDescent="0.3">
      <c r="B155" s="21"/>
      <c r="G155" s="49" t="s">
        <v>718</v>
      </c>
      <c r="H155" s="502" t="str">
        <f xml:space="preserve">   VLOOKUP(( OR((ContractType = 2),MedicalIntensity,BehavioralIntensity)    &amp;"_"&amp;CapitalLease&amp;"_"&amp;SiteApprovalGTEQFY19&amp;"_"&amp;CEDACAPPLIED),RateAndCapLogicTable,3,FALSE)</f>
        <v>Regional Cap applied:</v>
      </c>
      <c r="I155" s="503"/>
    </row>
    <row r="156" spans="1:32" ht="13.85" hidden="1" x14ac:dyDescent="0.3">
      <c r="B156" s="21"/>
      <c r="H156" s="504"/>
      <c r="I156" s="505"/>
    </row>
    <row r="157" spans="1:32" ht="13.85" hidden="1" x14ac:dyDescent="0.3">
      <c r="B157" s="21"/>
    </row>
    <row r="158" spans="1:32" ht="13.85" hidden="1" x14ac:dyDescent="0.3">
      <c r="A158" s="254"/>
      <c r="B158" s="21"/>
      <c r="C158" s="4" t="s">
        <v>732</v>
      </c>
    </row>
    <row r="159" spans="1:32" s="304" customFormat="1" ht="13.85" hidden="1" x14ac:dyDescent="0.3">
      <c r="A159" s="302"/>
      <c r="B159" s="303"/>
      <c r="C159" s="304" t="s">
        <v>734</v>
      </c>
      <c r="D159" s="304" t="s">
        <v>733</v>
      </c>
      <c r="E159" s="63" t="s">
        <v>572</v>
      </c>
      <c r="F159" s="304" t="s">
        <v>735</v>
      </c>
      <c r="G159" s="304" t="s">
        <v>736</v>
      </c>
      <c r="S159" s="295"/>
    </row>
    <row r="160" spans="1:32" ht="13.85" hidden="1" x14ac:dyDescent="0.3">
      <c r="A160" s="255">
        <f>IF(TotalCapacity &gt; 0, ROUND(ProjAnnExpenses/TotalCapacity/365,2),0)</f>
        <v>0</v>
      </c>
      <c r="B160" s="21"/>
      <c r="C160" s="49" t="b">
        <f>AND(OR(Purchase, CapitalLease),Lease = FALSE)</f>
        <v>0</v>
      </c>
      <c r="D160" s="49" t="b">
        <f>AND(Lease, AND(Purchase, CapitalLease) = FALSE)</f>
        <v>0</v>
      </c>
      <c r="E160" s="49" t="str">
        <f>IF(TotalCapacity&gt;3, "4+","1-3")</f>
        <v>1-3</v>
      </c>
      <c r="F160" s="49" t="str">
        <f>C160 &amp; "_"&amp; D160 &amp; "_" &amp; E160</f>
        <v>FALSE_FALSE_1-3</v>
      </c>
      <c r="G160" s="49" t="e">
        <f>IF(F160 = "FALSE_TRUE_1-3", 900,IF(F160="FALSE_TRUE_4+", 1100,IF(C160 = TRUE, 3000, NA())) )</f>
        <v>#N/A</v>
      </c>
      <c r="H160" s="16"/>
    </row>
    <row r="161" spans="1:13" ht="13.85" hidden="1" x14ac:dyDescent="0.3">
      <c r="A161" s="255" t="e">
        <f>VLOOKUP(DailyCost,Rates!A2:B34,2)</f>
        <v>#N/A</v>
      </c>
      <c r="B161" s="21"/>
      <c r="H161" s="16"/>
    </row>
    <row r="162" spans="1:13" ht="13.85" hidden="1" x14ac:dyDescent="0.3">
      <c r="A162" s="255" t="e">
        <f>DailyRate*TotalCapacity*365</f>
        <v>#N/A</v>
      </c>
      <c r="B162" s="21"/>
    </row>
    <row r="163" spans="1:13" ht="13.85" hidden="1" x14ac:dyDescent="0.3">
      <c r="A163" s="256" t="b">
        <v>1</v>
      </c>
      <c r="B163" s="21"/>
    </row>
    <row r="164" spans="1:13" ht="13.85" hidden="1" x14ac:dyDescent="0.3">
      <c r="A164" s="254" t="b">
        <v>1</v>
      </c>
      <c r="B164" s="21"/>
    </row>
    <row r="165" spans="1:13" ht="13.85" hidden="1" x14ac:dyDescent="0.3">
      <c r="A165" s="254" t="b">
        <v>1</v>
      </c>
      <c r="B165" s="21"/>
      <c r="M165" s="49" t="s">
        <v>626</v>
      </c>
    </row>
    <row r="166" spans="1:13" ht="13.85" hidden="1" x14ac:dyDescent="0.3">
      <c r="A166" s="254" t="b">
        <v>1</v>
      </c>
      <c r="B166" s="21"/>
    </row>
    <row r="167" spans="1:13" ht="13.85" hidden="1" x14ac:dyDescent="0.3">
      <c r="A167" s="254" t="b">
        <v>1</v>
      </c>
      <c r="B167" s="21"/>
    </row>
    <row r="168" spans="1:13" ht="13.85" hidden="1" x14ac:dyDescent="0.3">
      <c r="A168" s="254" t="b">
        <v>0</v>
      </c>
      <c r="B168" s="21"/>
    </row>
    <row r="169" spans="1:13" ht="13.85" hidden="1" x14ac:dyDescent="0.3">
      <c r="A169" s="254" t="b">
        <v>0</v>
      </c>
      <c r="B169" s="21"/>
    </row>
    <row r="170" spans="1:13" ht="13.85" hidden="1" x14ac:dyDescent="0.3">
      <c r="A170" s="254" t="b">
        <v>0</v>
      </c>
      <c r="B170" s="21"/>
    </row>
    <row r="171" spans="1:13" ht="13.85" hidden="1" x14ac:dyDescent="0.3">
      <c r="A171" s="254" t="b">
        <v>0</v>
      </c>
      <c r="B171" s="21"/>
    </row>
    <row r="172" spans="1:13" ht="13.85" hidden="1" x14ac:dyDescent="0.3">
      <c r="A172" s="254" t="b">
        <v>0</v>
      </c>
      <c r="B172" s="21"/>
    </row>
    <row r="173" spans="1:13" ht="13.85" hidden="1" x14ac:dyDescent="0.3">
      <c r="A173" s="254" t="b">
        <v>1</v>
      </c>
      <c r="B173" s="21"/>
    </row>
    <row r="174" spans="1:13" ht="13.85" hidden="1" x14ac:dyDescent="0.3">
      <c r="A174" s="254" t="b">
        <v>0</v>
      </c>
      <c r="B174" s="21"/>
    </row>
    <row r="175" spans="1:13" ht="13.85" hidden="1" x14ac:dyDescent="0.3">
      <c r="A175" s="254" t="b">
        <v>0</v>
      </c>
      <c r="B175" s="21"/>
    </row>
    <row r="176" spans="1:13" ht="13.85" hidden="1" x14ac:dyDescent="0.3">
      <c r="A176" s="254" t="b">
        <v>0</v>
      </c>
      <c r="B176" s="21"/>
    </row>
    <row r="177" spans="1:6" ht="13.85" hidden="1" x14ac:dyDescent="0.3">
      <c r="A177" s="254" t="b">
        <v>0</v>
      </c>
      <c r="B177" s="21"/>
    </row>
    <row r="178" spans="1:6" ht="13.85" hidden="1" x14ac:dyDescent="0.3">
      <c r="A178" s="254" t="b">
        <v>0</v>
      </c>
      <c r="B178" s="21"/>
    </row>
    <row r="179" spans="1:6" ht="13.85" hidden="1" x14ac:dyDescent="0.3">
      <c r="A179" s="254" t="b">
        <v>1</v>
      </c>
      <c r="B179" s="21"/>
    </row>
    <row r="180" spans="1:6" ht="13.85" hidden="1" x14ac:dyDescent="0.3">
      <c r="A180" s="254" t="b">
        <v>0</v>
      </c>
      <c r="B180" s="21"/>
      <c r="C180" s="49" t="s">
        <v>757</v>
      </c>
    </row>
    <row r="181" spans="1:6" ht="13.85" hidden="1" x14ac:dyDescent="0.3">
      <c r="A181" s="254" t="b">
        <v>0</v>
      </c>
      <c r="B181" s="21"/>
    </row>
    <row r="182" spans="1:6" ht="13.85" hidden="1" x14ac:dyDescent="0.3">
      <c r="A182" s="334">
        <v>1</v>
      </c>
      <c r="C182" s="21" t="str">
        <f>VLOOKUP(ContractType,luContractType,2,FALSE)</f>
        <v>DDS ID</v>
      </c>
      <c r="D182" s="254" t="b">
        <v>1</v>
      </c>
    </row>
    <row r="183" spans="1:6" ht="13.85" hidden="1" x14ac:dyDescent="0.3">
      <c r="B183" s="21"/>
      <c r="D183" s="254" t="b">
        <v>1</v>
      </c>
    </row>
    <row r="184" spans="1:6" ht="13.85" hidden="1" x14ac:dyDescent="0.3">
      <c r="A184" s="254" t="b">
        <f>YesNoReplacement = "Yes"</f>
        <v>0</v>
      </c>
      <c r="B184" s="21"/>
      <c r="C184" s="49" t="s">
        <v>793</v>
      </c>
      <c r="D184" s="254"/>
    </row>
    <row r="185" spans="1:6" ht="13.85" hidden="1" x14ac:dyDescent="0.3">
      <c r="A185" s="254"/>
      <c r="B185" s="21"/>
      <c r="D185" s="254"/>
    </row>
    <row r="186" spans="1:6" ht="13.85" hidden="1" x14ac:dyDescent="0.3">
      <c r="A186" s="254" t="b">
        <v>0</v>
      </c>
      <c r="B186" s="21"/>
      <c r="C186" s="49" t="s">
        <v>804</v>
      </c>
      <c r="D186" s="254"/>
    </row>
    <row r="187" spans="1:6" ht="13.85" hidden="1" x14ac:dyDescent="0.3">
      <c r="A187" s="254" t="b">
        <v>0</v>
      </c>
      <c r="B187" s="21"/>
      <c r="C187" s="49" t="s">
        <v>805</v>
      </c>
      <c r="D187" s="254"/>
    </row>
    <row r="188" spans="1:6" ht="13.85" hidden="1" x14ac:dyDescent="0.3">
      <c r="D188" s="254"/>
    </row>
    <row r="189" spans="1:6" ht="13.85" hidden="1" x14ac:dyDescent="0.3">
      <c r="A189" s="254" t="b">
        <v>0</v>
      </c>
      <c r="B189" s="21"/>
    </row>
    <row r="190" spans="1:6" ht="13.85" hidden="1" x14ac:dyDescent="0.3">
      <c r="A190" s="254">
        <f>IF(ContractType=2, ABIMonthlyCAP, IF(   ISERROR(VLOOKUP(RegionSelected,luRegionsMaxRates,2)), 0,      IF(CAPExemption, VLOOKUP(RegionSelected,luRegionsMaxRates,3), VLOOKUP(RegionSelected,luRegionsMaxRates,2)    )   )  )</f>
        <v>0</v>
      </c>
      <c r="B190" s="21"/>
      <c r="D190" s="49">
        <f>IF((DDSRes + DDSABI + MCBRes + MRCRes = 1),   IF(DDSABI, ABIMonthlyCAP, IF(   ISERROR(VLOOKUP(RegionSelected,'Cities &amp; Regions'!B3:C351,2)), 0,      IF(CAPExemption, VLOOKUP(RegionSelected,'Cities &amp; Regions'!B3:D351,3), VLOOKUP(RegionSelected,'Cities &amp; Regions'!B3:D351,2)    )   )  ), 0)</f>
        <v>0</v>
      </c>
      <c r="F190" s="368">
        <f>IF(DDSABI, ABIMonthlyCAP, IF(   ISERROR(VLOOKUP(RegionSelected,luRegionsMaxRates,2)), 0,      IF(CAPExemption, VLOOKUP(RegionSelected,luRegionsMaxRates,3), VLOOKUP(RegionSelected,luRegionsMaxRates,2)    )   )  )</f>
        <v>2908</v>
      </c>
    </row>
    <row r="191" spans="1:6" ht="13.85" hidden="1" x14ac:dyDescent="0.3">
      <c r="A191" s="254"/>
      <c r="B191" s="21"/>
    </row>
    <row r="192" spans="1:6" ht="13.85" hidden="1" x14ac:dyDescent="0.3">
      <c r="A192" s="254" t="b">
        <f>AND(RegionalCap &gt; 0,  RegionalCap &lt; PerPersonBeforeOfffsets)</f>
        <v>0</v>
      </c>
      <c r="B192" s="21"/>
    </row>
    <row r="193" spans="1:6" ht="13.85" hidden="1" x14ac:dyDescent="0.3">
      <c r="A193" s="254" t="b">
        <f>SiteApprovalDate &gt;= DATE(2014,7,1)</f>
        <v>1</v>
      </c>
      <c r="B193" s="21"/>
      <c r="C193" s="49" t="s">
        <v>748</v>
      </c>
    </row>
    <row r="194" spans="1:6" ht="13.85" hidden="1" x14ac:dyDescent="0.3">
      <c r="A194" s="257" t="b">
        <f>AND(CapitalLease, SiteApprovalDate &gt;=  DATE(2018,7,1), CEDACAPPLIED)</f>
        <v>0</v>
      </c>
      <c r="B194" s="21"/>
    </row>
    <row r="195" spans="1:6" ht="13.85" hidden="1" x14ac:dyDescent="0.3">
      <c r="A195" s="254" t="e">
        <f>IF(ContractType=2,ABIMonthlyCAP,VLOOKUP(RegionSelected,luRegionsMaxRates,2,FALSE))</f>
        <v>#N/A</v>
      </c>
      <c r="B195" s="21"/>
      <c r="C195" s="49" t="s">
        <v>770</v>
      </c>
      <c r="F195" s="49" t="s">
        <v>774</v>
      </c>
    </row>
    <row r="196" spans="1:6" ht="13.85" hidden="1" x14ac:dyDescent="0.3">
      <c r="A196" s="254" t="e">
        <f>IF(ContractType=2,ABIMonthlyCAP,VLOOKUP(RegionSelected,luRegionsMaxRates,3,FALSE))</f>
        <v>#N/A</v>
      </c>
      <c r="B196" s="21"/>
    </row>
    <row r="197" spans="1:6" ht="13.85" hidden="1" x14ac:dyDescent="0.3">
      <c r="D197" s="49" t="str">
        <f>RegionSelected</f>
        <v/>
      </c>
    </row>
    <row r="198" spans="1:6" ht="14.4" hidden="1" thickBot="1" x14ac:dyDescent="0.35">
      <c r="A198" s="254"/>
      <c r="B198" s="21"/>
    </row>
    <row r="199" spans="1:6" ht="13.85" hidden="1" x14ac:dyDescent="0.3">
      <c r="A199" s="15" t="s">
        <v>120</v>
      </c>
      <c r="B199" s="68"/>
      <c r="C199" s="261">
        <v>44378</v>
      </c>
      <c r="D199" s="49" t="s">
        <v>791</v>
      </c>
    </row>
    <row r="200" spans="1:6" x14ac:dyDescent="0.3">
      <c r="B200" s="21"/>
    </row>
    <row r="201" spans="1:6" x14ac:dyDescent="0.3">
      <c r="B201" s="21"/>
    </row>
    <row r="202" spans="1:6" x14ac:dyDescent="0.3">
      <c r="B202" s="21"/>
    </row>
    <row r="203" spans="1:6" x14ac:dyDescent="0.3">
      <c r="B203" s="21"/>
    </row>
    <row r="204" spans="1:6" x14ac:dyDescent="0.3">
      <c r="B204" s="21"/>
    </row>
    <row r="205" spans="1:6" x14ac:dyDescent="0.3">
      <c r="B205" s="21"/>
    </row>
    <row r="206" spans="1:6" x14ac:dyDescent="0.3">
      <c r="B206" s="21"/>
    </row>
    <row r="207" spans="1:6" x14ac:dyDescent="0.3">
      <c r="B207" s="21"/>
    </row>
    <row r="208" spans="1:6" x14ac:dyDescent="0.3">
      <c r="B208" s="21"/>
    </row>
    <row r="209" spans="2:2" x14ac:dyDescent="0.3">
      <c r="B209" s="21"/>
    </row>
  </sheetData>
  <sheetProtection algorithmName="SHA-512" hashValue="FMFZWdqiZPnxN0ZLrDo0JO2QPAjL30ZQDBvfsyENiq/tP4cdGxdmfEhzRnwecDafrD1TJRq6Yh9KywaVz3mdUw==" saltValue="TWt3vWqCXITORnwOY4ybCg==" spinCount="100000" sheet="1" objects="1" scenarios="1"/>
  <customSheetViews>
    <customSheetView guid="{FBB71ECB-BCC0-464A-AF19-7974BE7447AA}" topLeftCell="A26">
      <selection activeCell="P37" sqref="P37"/>
      <pageMargins left="0.7" right="0.7" top="0.75" bottom="0.75" header="0.3" footer="0.3"/>
      <pageSetup orientation="portrait" r:id="rId1"/>
    </customSheetView>
  </customSheetViews>
  <mergeCells count="94">
    <mergeCell ref="C2:M2"/>
    <mergeCell ref="J78:M78"/>
    <mergeCell ref="L3:M3"/>
    <mergeCell ref="F3:J3"/>
    <mergeCell ref="C3:D3"/>
    <mergeCell ref="M7:M16"/>
    <mergeCell ref="C48:G48"/>
    <mergeCell ref="G39:J39"/>
    <mergeCell ref="J9:K9"/>
    <mergeCell ref="L9:L15"/>
    <mergeCell ref="C44:G44"/>
    <mergeCell ref="C45:G45"/>
    <mergeCell ref="C46:G46"/>
    <mergeCell ref="C47:G47"/>
    <mergeCell ref="E14:F14"/>
    <mergeCell ref="H45:I45"/>
    <mergeCell ref="H46:I46"/>
    <mergeCell ref="H47:I47"/>
    <mergeCell ref="H48:I48"/>
    <mergeCell ref="E21:J21"/>
    <mergeCell ref="D5:E5"/>
    <mergeCell ref="H44:I44"/>
    <mergeCell ref="H41:I41"/>
    <mergeCell ref="H42:I42"/>
    <mergeCell ref="H43:I43"/>
    <mergeCell ref="C42:G42"/>
    <mergeCell ref="C43:G43"/>
    <mergeCell ref="G38:J38"/>
    <mergeCell ref="I20:K20"/>
    <mergeCell ref="K23:M23"/>
    <mergeCell ref="L4:L5"/>
    <mergeCell ref="J28:M28"/>
    <mergeCell ref="C13:I13"/>
    <mergeCell ref="C15:D15"/>
    <mergeCell ref="K25:M25"/>
    <mergeCell ref="J76:K76"/>
    <mergeCell ref="J74:K74"/>
    <mergeCell ref="K64:L64"/>
    <mergeCell ref="K65:L65"/>
    <mergeCell ref="J64:J65"/>
    <mergeCell ref="L32:M32"/>
    <mergeCell ref="J30:K31"/>
    <mergeCell ref="D75:F75"/>
    <mergeCell ref="D73:F73"/>
    <mergeCell ref="C70:M71"/>
    <mergeCell ref="J73:K73"/>
    <mergeCell ref="J75:K75"/>
    <mergeCell ref="C49:G49"/>
    <mergeCell ref="J66:J67"/>
    <mergeCell ref="K66:L67"/>
    <mergeCell ref="M66:M67"/>
    <mergeCell ref="C63:F68"/>
    <mergeCell ref="J68:L68"/>
    <mergeCell ref="H49:I49"/>
    <mergeCell ref="O62:P62"/>
    <mergeCell ref="J51:K51"/>
    <mergeCell ref="K60:K61"/>
    <mergeCell ref="L60:L61"/>
    <mergeCell ref="J60:J61"/>
    <mergeCell ref="H60:I61"/>
    <mergeCell ref="C1:M1"/>
    <mergeCell ref="C36:K36"/>
    <mergeCell ref="C34:M34"/>
    <mergeCell ref="K24:M24"/>
    <mergeCell ref="J8:K8"/>
    <mergeCell ref="E15:F15"/>
    <mergeCell ref="K18:M18"/>
    <mergeCell ref="E20:H20"/>
    <mergeCell ref="E23:H23"/>
    <mergeCell ref="K26:L26"/>
    <mergeCell ref="K27:L27"/>
    <mergeCell ref="E11:J11"/>
    <mergeCell ref="H5:J5"/>
    <mergeCell ref="D8:F8"/>
    <mergeCell ref="H8:I8"/>
    <mergeCell ref="L7:L8"/>
    <mergeCell ref="I136:J136"/>
    <mergeCell ref="I137:J137"/>
    <mergeCell ref="I138:J138"/>
    <mergeCell ref="I139:J139"/>
    <mergeCell ref="I140:J140"/>
    <mergeCell ref="I141:J141"/>
    <mergeCell ref="I142:J142"/>
    <mergeCell ref="I143:J143"/>
    <mergeCell ref="I144:J144"/>
    <mergeCell ref="I145:J145"/>
    <mergeCell ref="I151:J151"/>
    <mergeCell ref="I152:J152"/>
    <mergeCell ref="H155:I156"/>
    <mergeCell ref="I146:J146"/>
    <mergeCell ref="I147:J147"/>
    <mergeCell ref="I148:J148"/>
    <mergeCell ref="I149:J149"/>
    <mergeCell ref="I150:J150"/>
  </mergeCells>
  <conditionalFormatting sqref="G9">
    <cfRule type="containsText" dxfId="15" priority="2" operator="containsText" text="ABI Site">
      <formula>NOT(ISERROR(SEARCH("ABI Site",G9)))</formula>
    </cfRule>
  </conditionalFormatting>
  <conditionalFormatting sqref="J23">
    <cfRule type="cellIs" dxfId="14" priority="37" operator="equal">
      <formula>"""Status of acquisition:"""</formula>
    </cfRule>
  </conditionalFormatting>
  <conditionalFormatting sqref="J68:M68">
    <cfRule type="expression" dxfId="13" priority="4">
      <formula>LEN(ExceptionRate) &lt;1</formula>
    </cfRule>
  </conditionalFormatting>
  <conditionalFormatting sqref="K26:L26">
    <cfRule type="expression" dxfId="12" priority="28">
      <formula>OR(Purchase = TRUE, Lease + CapitalLease = 2)</formula>
    </cfRule>
  </conditionalFormatting>
  <conditionalFormatting sqref="K65:L65">
    <cfRule type="expression" dxfId="11" priority="22">
      <formula>LEN(ActiveCap) &lt; 1</formula>
    </cfRule>
  </conditionalFormatting>
  <conditionalFormatting sqref="L33">
    <cfRule type="expression" dxfId="10" priority="26">
      <formula>CEDACAPPLIED = TRUE</formula>
    </cfRule>
  </conditionalFormatting>
  <conditionalFormatting sqref="M26">
    <cfRule type="expression" dxfId="9" priority="29">
      <formula>Purchase = TRUE</formula>
    </cfRule>
  </conditionalFormatting>
  <conditionalFormatting sqref="M64">
    <cfRule type="expression" dxfId="8" priority="13" stopIfTrue="1">
      <formula>CapException</formula>
    </cfRule>
    <cfRule type="expression" dxfId="7" priority="15">
      <formula>IF(ISNUMBER(ActiveCap),LEN(TRIM(ActiveCap)) &gt;= 1)</formula>
    </cfRule>
    <cfRule type="cellIs" dxfId="6" priority="16" operator="equal">
      <formula>0</formula>
    </cfRule>
  </conditionalFormatting>
  <conditionalFormatting sqref="M65">
    <cfRule type="expression" dxfId="5" priority="3" stopIfTrue="1">
      <formula>LEN(ExceptionRate) &gt;=1</formula>
    </cfRule>
    <cfRule type="expression" dxfId="4" priority="14">
      <formula>LEN(ActiveCap) &lt; 1</formula>
    </cfRule>
  </conditionalFormatting>
  <conditionalFormatting sqref="M66">
    <cfRule type="cellIs" dxfId="3" priority="9" stopIfTrue="1" operator="equal">
      <formula>0</formula>
    </cfRule>
  </conditionalFormatting>
  <conditionalFormatting sqref="O67:O68">
    <cfRule type="cellIs" dxfId="2" priority="19" operator="equal">
      <formula>0</formula>
    </cfRule>
  </conditionalFormatting>
  <dataValidations xWindow="1249" yWindow="618" count="7">
    <dataValidation allowBlank="1" showInputMessage="1" showErrorMessage="1" prompt="Utilities Expense Caps  _x000a_purchase, lease, or capital lease_x000a__x000a_Capacity 1-3    $7,000  _x000a_Capacity 4 +  $11,500_x000a__x000a_Estimates in excess of the caps will automatically be reduced." sqref="J55" xr:uid="{00000000-0002-0000-0100-000000000000}"/>
    <dataValidation allowBlank="1" showInputMessage="1" showErrorMessage="1" prompt="Property &amp; Casualty Ins. Expense Caps_x000a__x000a_Lease:_x000a_1-3 BR capacity          $900 _x000a_4 + BR capacity       $1,100_x000a__x000a_Purchase or Capital Lease:_x000a_Any Capacity           $3,000_x000a__x000a_Estimates in excess of the caps will automatically be reduced." sqref="J57" xr:uid="{00000000-0002-0000-0100-000001000000}"/>
    <dataValidation type="list" allowBlank="1" showInputMessage="1" showErrorMessage="1" sqref="E15" xr:uid="{00000000-0002-0000-0100-000002000000}">
      <formula1>SiteType</formula1>
    </dataValidation>
    <dataValidation allowBlank="1" showInputMessage="1" showErrorMessage="1" prompt="Maintenance Expense Caps_x000a__x000a_Bldgs with 5 or more units   $5,000_x000a_Bldgs with 1-4  units           $12,000_x000a__x000a_Estimates in excess of the caps will automatically be reduced." sqref="J56" xr:uid="{00000000-0002-0000-0100-000003000000}"/>
    <dataValidation allowBlank="1" showInputMessage="1" showErrorMessage="1" prompt="Non-Capital Expense Caps _x000a__x000a_Capacity 1-3     $1200_x000a_Capacity 4+      $1600_x000a__x000a_Estimates in excess of the caps will automatically be reduced." sqref="J58" xr:uid="{00000000-0002-0000-0100-000004000000}"/>
    <dataValidation allowBlank="1" showInputMessage="1" showErrorMessage="1" prompt="Food Expense Cap _x000a__x000a_$9.15 per resident per day. _x000a__x000a_Estimates in excess of the cap will automatically be reduced." sqref="J59" xr:uid="{00000000-0002-0000-0100-000005000000}"/>
    <dataValidation type="list" allowBlank="1" showErrorMessage="1" error="You must enter Yes or No." sqref="L30" xr:uid="{139AF11C-DAC6-4AAA-ABB9-163EC27C5088}">
      <formula1>"Yes, No"</formula1>
    </dataValidation>
  </dataValidations>
  <hyperlinks>
    <hyperlink ref="L20" r:id="rId2" display="808 CMR 1.04 (8)" xr:uid="{00000000-0004-0000-0100-000000000000}"/>
  </hyperlinks>
  <pageMargins left="0.25" right="0.25" top="0.3" bottom="0.3" header="0" footer="0"/>
  <pageSetup scale="58" orientation="portrait" r:id="rId3"/>
  <headerFooter scaleWithDoc="0">
    <oddFooter>&amp;L&amp;8&amp;F&amp;R&amp;8Printed on  &amp;D</oddFooter>
  </headerFooter>
  <ignoredErrors>
    <ignoredError sqref="D32 O45"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3140" r:id="rId6" name="chkMedicalIntensity">
              <controlPr defaultSize="0" autoFill="0" autoLine="0" autoPict="0">
                <anchor moveWithCells="1">
                  <from>
                    <xdr:col>73</xdr:col>
                    <xdr:colOff>61415</xdr:colOff>
                    <xdr:row>8</xdr:row>
                    <xdr:rowOff>232012</xdr:rowOff>
                  </from>
                  <to>
                    <xdr:col>73</xdr:col>
                    <xdr:colOff>266131</xdr:colOff>
                    <xdr:row>8</xdr:row>
                    <xdr:rowOff>286603</xdr:rowOff>
                  </to>
                </anchor>
              </controlPr>
            </control>
          </mc:Choice>
        </mc:AlternateContent>
        <mc:AlternateContent xmlns:mc="http://schemas.openxmlformats.org/markup-compatibility/2006">
          <mc:Choice Requires="x14">
            <control shapeId="3141" r:id="rId7" name="chkBehavIntensive">
              <controlPr defaultSize="0" autoFill="0" autoLine="0" autoPict="0">
                <anchor moveWithCells="1">
                  <from>
                    <xdr:col>73</xdr:col>
                    <xdr:colOff>40943</xdr:colOff>
                    <xdr:row>8</xdr:row>
                    <xdr:rowOff>116006</xdr:rowOff>
                  </from>
                  <to>
                    <xdr:col>73</xdr:col>
                    <xdr:colOff>593678</xdr:colOff>
                    <xdr:row>8</xdr:row>
                    <xdr:rowOff>184245</xdr:rowOff>
                  </to>
                </anchor>
              </controlPr>
            </control>
          </mc:Choice>
        </mc:AlternateContent>
        <mc:AlternateContent xmlns:mc="http://schemas.openxmlformats.org/markup-compatibility/2006">
          <mc:Choice Requires="x14">
            <control shapeId="3096" r:id="rId8" name="Check Box 24">
              <controlPr defaultSize="0" autoFill="0" autoLine="0" autoPict="0">
                <anchor moveWithCells="1">
                  <from>
                    <xdr:col>6</xdr:col>
                    <xdr:colOff>47767</xdr:colOff>
                    <xdr:row>22</xdr:row>
                    <xdr:rowOff>27296</xdr:rowOff>
                  </from>
                  <to>
                    <xdr:col>8</xdr:col>
                    <xdr:colOff>0</xdr:colOff>
                    <xdr:row>23</xdr:row>
                    <xdr:rowOff>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4</xdr:col>
                    <xdr:colOff>122830</xdr:colOff>
                    <xdr:row>22</xdr:row>
                    <xdr:rowOff>68239</xdr:rowOff>
                  </from>
                  <to>
                    <xdr:col>6</xdr:col>
                    <xdr:colOff>6824</xdr:colOff>
                    <xdr:row>23</xdr:row>
                    <xdr:rowOff>0</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12</xdr:col>
                    <xdr:colOff>68239</xdr:colOff>
                    <xdr:row>19</xdr:row>
                    <xdr:rowOff>68239</xdr:rowOff>
                  </from>
                  <to>
                    <xdr:col>12</xdr:col>
                    <xdr:colOff>457200</xdr:colOff>
                    <xdr:row>20</xdr:row>
                    <xdr:rowOff>0</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12</xdr:col>
                    <xdr:colOff>566382</xdr:colOff>
                    <xdr:row>19</xdr:row>
                    <xdr:rowOff>47767</xdr:rowOff>
                  </from>
                  <to>
                    <xdr:col>12</xdr:col>
                    <xdr:colOff>1037230</xdr:colOff>
                    <xdr:row>20</xdr:row>
                    <xdr:rowOff>0</xdr:rowOff>
                  </to>
                </anchor>
              </controlPr>
            </control>
          </mc:Choice>
        </mc:AlternateContent>
        <mc:AlternateContent xmlns:mc="http://schemas.openxmlformats.org/markup-compatibility/2006">
          <mc:Choice Requires="x14">
            <control shapeId="3119" r:id="rId12" name="Check Box 47">
              <controlPr defaultSize="0" autoFill="0" autoLine="0" autoPict="0">
                <anchor moveWithCells="1">
                  <from>
                    <xdr:col>10</xdr:col>
                    <xdr:colOff>81887</xdr:colOff>
                    <xdr:row>22</xdr:row>
                    <xdr:rowOff>6824</xdr:rowOff>
                  </from>
                  <to>
                    <xdr:col>10</xdr:col>
                    <xdr:colOff>1125940</xdr:colOff>
                    <xdr:row>23</xdr:row>
                    <xdr:rowOff>0</xdr:rowOff>
                  </to>
                </anchor>
              </controlPr>
            </control>
          </mc:Choice>
        </mc:AlternateContent>
        <mc:AlternateContent xmlns:mc="http://schemas.openxmlformats.org/markup-compatibility/2006">
          <mc:Choice Requires="x14">
            <control shapeId="3120" r:id="rId13" name="Check Box 48">
              <controlPr defaultSize="0" autoFill="0" autoLine="0" autoPict="0">
                <anchor moveWithCells="1">
                  <from>
                    <xdr:col>11</xdr:col>
                    <xdr:colOff>450376</xdr:colOff>
                    <xdr:row>22</xdr:row>
                    <xdr:rowOff>6824</xdr:rowOff>
                  </from>
                  <to>
                    <xdr:col>12</xdr:col>
                    <xdr:colOff>436728</xdr:colOff>
                    <xdr:row>23</xdr:row>
                    <xdr:rowOff>0</xdr:rowOff>
                  </to>
                </anchor>
              </controlPr>
            </control>
          </mc:Choice>
        </mc:AlternateContent>
        <mc:AlternateContent xmlns:mc="http://schemas.openxmlformats.org/markup-compatibility/2006">
          <mc:Choice Requires="x14">
            <control shapeId="3121" r:id="rId14" name="Check Box 49">
              <controlPr locked="0" defaultSize="0" autoFill="0" autoLine="0" autoPict="0">
                <anchor moveWithCells="1">
                  <from>
                    <xdr:col>4</xdr:col>
                    <xdr:colOff>238836</xdr:colOff>
                    <xdr:row>19</xdr:row>
                    <xdr:rowOff>13648</xdr:rowOff>
                  </from>
                  <to>
                    <xdr:col>5</xdr:col>
                    <xdr:colOff>750627</xdr:colOff>
                    <xdr:row>19</xdr:row>
                    <xdr:rowOff>252484</xdr:rowOff>
                  </to>
                </anchor>
              </controlPr>
            </control>
          </mc:Choice>
        </mc:AlternateContent>
        <mc:AlternateContent xmlns:mc="http://schemas.openxmlformats.org/markup-compatibility/2006">
          <mc:Choice Requires="x14">
            <control shapeId="3122" r:id="rId15" name="Check Box 50">
              <controlPr locked="0" defaultSize="0" autoFill="0" autoLine="0" autoPict="0">
                <anchor moveWithCells="1">
                  <from>
                    <xdr:col>5</xdr:col>
                    <xdr:colOff>893928</xdr:colOff>
                    <xdr:row>19</xdr:row>
                    <xdr:rowOff>13648</xdr:rowOff>
                  </from>
                  <to>
                    <xdr:col>6</xdr:col>
                    <xdr:colOff>805218</xdr:colOff>
                    <xdr:row>19</xdr:row>
                    <xdr:rowOff>252484</xdr:rowOff>
                  </to>
                </anchor>
              </controlPr>
            </control>
          </mc:Choice>
        </mc:AlternateContent>
        <mc:AlternateContent xmlns:mc="http://schemas.openxmlformats.org/markup-compatibility/2006">
          <mc:Choice Requires="x14">
            <control shapeId="3123" r:id="rId16" name="Check Box 51">
              <controlPr locked="0" defaultSize="0" autoFill="0" autoLine="0" autoPict="0">
                <anchor moveWithCells="1">
                  <from>
                    <xdr:col>6</xdr:col>
                    <xdr:colOff>955343</xdr:colOff>
                    <xdr:row>19</xdr:row>
                    <xdr:rowOff>13648</xdr:rowOff>
                  </from>
                  <to>
                    <xdr:col>7</xdr:col>
                    <xdr:colOff>525439</xdr:colOff>
                    <xdr:row>19</xdr:row>
                    <xdr:rowOff>252484</xdr:rowOff>
                  </to>
                </anchor>
              </controlPr>
            </control>
          </mc:Choice>
        </mc:AlternateContent>
        <mc:AlternateContent xmlns:mc="http://schemas.openxmlformats.org/markup-compatibility/2006">
          <mc:Choice Requires="x14">
            <control shapeId="3128" r:id="rId17" name="Check Box 56">
              <controlPr locked="0" defaultSize="0" autoFill="0" autoLine="0" autoPict="0">
                <anchor moveWithCells="1">
                  <from>
                    <xdr:col>11</xdr:col>
                    <xdr:colOff>6824</xdr:colOff>
                    <xdr:row>31</xdr:row>
                    <xdr:rowOff>47767</xdr:rowOff>
                  </from>
                  <to>
                    <xdr:col>12</xdr:col>
                    <xdr:colOff>1146412</xdr:colOff>
                    <xdr:row>32</xdr:row>
                    <xdr:rowOff>0</xdr:rowOff>
                  </to>
                </anchor>
              </controlPr>
            </control>
          </mc:Choice>
        </mc:AlternateContent>
        <mc:AlternateContent xmlns:mc="http://schemas.openxmlformats.org/markup-compatibility/2006">
          <mc:Choice Requires="x14">
            <control shapeId="3130" r:id="rId18" name="optContr3153">
              <controlPr defaultSize="0" autoFill="0" autoLine="0" autoPict="0">
                <anchor moveWithCells="1">
                  <from>
                    <xdr:col>11</xdr:col>
                    <xdr:colOff>1016758</xdr:colOff>
                    <xdr:row>7</xdr:row>
                    <xdr:rowOff>0</xdr:rowOff>
                  </from>
                  <to>
                    <xdr:col>12</xdr:col>
                    <xdr:colOff>1078173</xdr:colOff>
                    <xdr:row>8</xdr:row>
                    <xdr:rowOff>47767</xdr:rowOff>
                  </to>
                </anchor>
              </controlPr>
            </control>
          </mc:Choice>
        </mc:AlternateContent>
        <mc:AlternateContent xmlns:mc="http://schemas.openxmlformats.org/markup-compatibility/2006">
          <mc:Choice Requires="x14">
            <control shapeId="3131" r:id="rId19" name="optContrABI">
              <controlPr defaultSize="0" autoFill="0" autoLine="0" autoPict="0">
                <anchor moveWithCells="1">
                  <from>
                    <xdr:col>11</xdr:col>
                    <xdr:colOff>1016758</xdr:colOff>
                    <xdr:row>8</xdr:row>
                    <xdr:rowOff>6824</xdr:rowOff>
                  </from>
                  <to>
                    <xdr:col>12</xdr:col>
                    <xdr:colOff>1078173</xdr:colOff>
                    <xdr:row>8</xdr:row>
                    <xdr:rowOff>286603</xdr:rowOff>
                  </to>
                </anchor>
              </controlPr>
            </control>
          </mc:Choice>
        </mc:AlternateContent>
        <mc:AlternateContent xmlns:mc="http://schemas.openxmlformats.org/markup-compatibility/2006">
          <mc:Choice Requires="x14">
            <control shapeId="3132" r:id="rId20" name="optContrEmerg">
              <controlPr defaultSize="0" autoFill="0" autoLine="0" autoPict="0">
                <anchor moveWithCells="1">
                  <from>
                    <xdr:col>11</xdr:col>
                    <xdr:colOff>1016758</xdr:colOff>
                    <xdr:row>8</xdr:row>
                    <xdr:rowOff>252484</xdr:rowOff>
                  </from>
                  <to>
                    <xdr:col>12</xdr:col>
                    <xdr:colOff>1078173</xdr:colOff>
                    <xdr:row>10</xdr:row>
                    <xdr:rowOff>122830</xdr:rowOff>
                  </to>
                </anchor>
              </controlPr>
            </control>
          </mc:Choice>
        </mc:AlternateContent>
        <mc:AlternateContent xmlns:mc="http://schemas.openxmlformats.org/markup-compatibility/2006">
          <mc:Choice Requires="x14">
            <control shapeId="3133" r:id="rId21" name="optContrRespite">
              <controlPr defaultSize="0" autoFill="0" autoLine="0" autoPict="0">
                <anchor moveWithCells="1">
                  <from>
                    <xdr:col>11</xdr:col>
                    <xdr:colOff>1016758</xdr:colOff>
                    <xdr:row>11</xdr:row>
                    <xdr:rowOff>61415</xdr:rowOff>
                  </from>
                  <to>
                    <xdr:col>12</xdr:col>
                    <xdr:colOff>1078173</xdr:colOff>
                    <xdr:row>13</xdr:row>
                    <xdr:rowOff>34119</xdr:rowOff>
                  </to>
                </anchor>
              </controlPr>
            </control>
          </mc:Choice>
        </mc:AlternateContent>
        <mc:AlternateContent xmlns:mc="http://schemas.openxmlformats.org/markup-compatibility/2006">
          <mc:Choice Requires="x14">
            <control shapeId="3134" r:id="rId22" name="optContrMCB">
              <controlPr defaultSize="0" autoFill="0" autoLine="0" autoPict="0">
                <anchor moveWithCells="1">
                  <from>
                    <xdr:col>11</xdr:col>
                    <xdr:colOff>1016758</xdr:colOff>
                    <xdr:row>12</xdr:row>
                    <xdr:rowOff>184245</xdr:rowOff>
                  </from>
                  <to>
                    <xdr:col>12</xdr:col>
                    <xdr:colOff>1078173</xdr:colOff>
                    <xdr:row>14</xdr:row>
                    <xdr:rowOff>75063</xdr:rowOff>
                  </to>
                </anchor>
              </controlPr>
            </control>
          </mc:Choice>
        </mc:AlternateContent>
        <mc:AlternateContent xmlns:mc="http://schemas.openxmlformats.org/markup-compatibility/2006">
          <mc:Choice Requires="x14">
            <control shapeId="3135" r:id="rId23" name="optContrMRC">
              <controlPr defaultSize="0" autoFill="0" autoLine="0" autoPict="0">
                <anchor moveWithCells="1">
                  <from>
                    <xdr:col>11</xdr:col>
                    <xdr:colOff>1016758</xdr:colOff>
                    <xdr:row>14</xdr:row>
                    <xdr:rowOff>40943</xdr:rowOff>
                  </from>
                  <to>
                    <xdr:col>12</xdr:col>
                    <xdr:colOff>1078173</xdr:colOff>
                    <xdr:row>15</xdr:row>
                    <xdr:rowOff>122830</xdr:rowOff>
                  </to>
                </anchor>
              </controlPr>
            </control>
          </mc:Choice>
        </mc:AlternateContent>
        <mc:AlternateContent xmlns:mc="http://schemas.openxmlformats.org/markup-compatibility/2006">
          <mc:Choice Requires="x14">
            <control shapeId="3137" r:id="rId24" name="optContrEmerg">
              <controlPr defaultSize="0" autoFill="0" autoLine="0" autoPict="0">
                <anchor moveWithCells="1">
                  <from>
                    <xdr:col>11</xdr:col>
                    <xdr:colOff>1016758</xdr:colOff>
                    <xdr:row>10</xdr:row>
                    <xdr:rowOff>88710</xdr:rowOff>
                  </from>
                  <to>
                    <xdr:col>12</xdr:col>
                    <xdr:colOff>1078173</xdr:colOff>
                    <xdr:row>11</xdr:row>
                    <xdr:rowOff>102358</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49" yWindow="618" count="3">
        <x14:dataValidation type="list" showErrorMessage="1" errorTitle="Incorrrect State" error="Please select from the list of states." xr:uid="{00000000-0002-0000-0100-000007000000}">
          <x14:formula1>
            <xm:f>'Cities &amp; Regions'!$G$3:$G$58</xm:f>
          </x14:formula1>
          <xm:sqref>H14</xm:sqref>
        </x14:dataValidation>
        <x14:dataValidation type="list" errorStyle="warning" showErrorMessage="1" errorTitle="EnterOffice from List" error="Please enter an area office from the list.  Alternative offices are listed programs contracted to other agencies or offices." xr:uid="{00000000-0002-0000-0100-000008000000}">
          <x14:formula1>
            <xm:f>'Cities &amp; Regions'!$I$3:$I$33</xm:f>
          </x14:formula1>
          <xm:sqref>M5</xm:sqref>
        </x14:dataValidation>
        <x14:dataValidation type="list" errorStyle="information" allowBlank="1" showDropDown="1" showInputMessage="1" showErrorMessage="1" errorTitle="Not an official MA Municipality" error="Please enter one of the 351 official cities in Massachusetts from the &quot;Cities &amp; Regions&quot; tab, or enter any town from another state.  Remember, some towns like Dorchester and Hyannis are communities within official towns." xr:uid="{00000000-0002-0000-0100-000006000000}">
          <x14:formula1>
            <xm:f>'Cities &amp; Regions'!$A$3:$A$351</xm:f>
          </x14:formula1>
          <xm:sqref>E14:F14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pageSetUpPr fitToPage="1"/>
  </sheetPr>
  <dimension ref="A1:J41"/>
  <sheetViews>
    <sheetView zoomScaleNormal="100" workbookViewId="0">
      <selection activeCell="C16" sqref="C16:J23"/>
    </sheetView>
  </sheetViews>
  <sheetFormatPr defaultRowHeight="14" x14ac:dyDescent="0.3"/>
  <cols>
    <col min="1" max="1" width="4" customWidth="1"/>
    <col min="2" max="2" width="8.3984375" customWidth="1"/>
    <col min="3" max="3" width="10.59765625" customWidth="1"/>
    <col min="4" max="4" width="7.3984375" customWidth="1"/>
    <col min="5" max="5" width="9.59765625" bestFit="1" customWidth="1"/>
    <col min="6" max="6" width="9.8984375" customWidth="1"/>
    <col min="7" max="7" width="9.8984375" bestFit="1" customWidth="1"/>
    <col min="8" max="8" width="12.3984375" customWidth="1"/>
    <col min="9" max="9" width="10.3984375" customWidth="1"/>
    <col min="10" max="10" width="10.8984375" customWidth="1"/>
    <col min="245" max="245" width="4" customWidth="1"/>
    <col min="246" max="246" width="7.09765625" customWidth="1"/>
    <col min="247" max="247" width="9.09765625" customWidth="1"/>
    <col min="248" max="248" width="5.3984375" customWidth="1"/>
    <col min="249" max="249" width="9.59765625" bestFit="1" customWidth="1"/>
    <col min="501" max="501" width="4" customWidth="1"/>
    <col min="502" max="502" width="7.09765625" customWidth="1"/>
    <col min="503" max="503" width="9.09765625" customWidth="1"/>
    <col min="504" max="504" width="5.3984375" customWidth="1"/>
    <col min="505" max="505" width="9.59765625" bestFit="1" customWidth="1"/>
    <col min="757" max="757" width="4" customWidth="1"/>
    <col min="758" max="758" width="7.09765625" customWidth="1"/>
    <col min="759" max="759" width="9.09765625" customWidth="1"/>
    <col min="760" max="760" width="5.3984375" customWidth="1"/>
    <col min="761" max="761" width="9.59765625" bestFit="1" customWidth="1"/>
    <col min="1013" max="1013" width="4" customWidth="1"/>
    <col min="1014" max="1014" width="7.09765625" customWidth="1"/>
    <col min="1015" max="1015" width="9.09765625" customWidth="1"/>
    <col min="1016" max="1016" width="5.3984375" customWidth="1"/>
    <col min="1017" max="1017" width="9.59765625" bestFit="1" customWidth="1"/>
    <col min="1269" max="1269" width="4" customWidth="1"/>
    <col min="1270" max="1270" width="7.09765625" customWidth="1"/>
    <col min="1271" max="1271" width="9.09765625" customWidth="1"/>
    <col min="1272" max="1272" width="5.3984375" customWidth="1"/>
    <col min="1273" max="1273" width="9.59765625" bestFit="1" customWidth="1"/>
    <col min="1525" max="1525" width="4" customWidth="1"/>
    <col min="1526" max="1526" width="7.09765625" customWidth="1"/>
    <col min="1527" max="1527" width="9.09765625" customWidth="1"/>
    <col min="1528" max="1528" width="5.3984375" customWidth="1"/>
    <col min="1529" max="1529" width="9.59765625" bestFit="1" customWidth="1"/>
    <col min="1781" max="1781" width="4" customWidth="1"/>
    <col min="1782" max="1782" width="7.09765625" customWidth="1"/>
    <col min="1783" max="1783" width="9.09765625" customWidth="1"/>
    <col min="1784" max="1784" width="5.3984375" customWidth="1"/>
    <col min="1785" max="1785" width="9.59765625" bestFit="1" customWidth="1"/>
    <col min="2037" max="2037" width="4" customWidth="1"/>
    <col min="2038" max="2038" width="7.09765625" customWidth="1"/>
    <col min="2039" max="2039" width="9.09765625" customWidth="1"/>
    <col min="2040" max="2040" width="5.3984375" customWidth="1"/>
    <col min="2041" max="2041" width="9.59765625" bestFit="1" customWidth="1"/>
    <col min="2293" max="2293" width="4" customWidth="1"/>
    <col min="2294" max="2294" width="7.09765625" customWidth="1"/>
    <col min="2295" max="2295" width="9.09765625" customWidth="1"/>
    <col min="2296" max="2296" width="5.3984375" customWidth="1"/>
    <col min="2297" max="2297" width="9.59765625" bestFit="1" customWidth="1"/>
    <col min="2549" max="2549" width="4" customWidth="1"/>
    <col min="2550" max="2550" width="7.09765625" customWidth="1"/>
    <col min="2551" max="2551" width="9.09765625" customWidth="1"/>
    <col min="2552" max="2552" width="5.3984375" customWidth="1"/>
    <col min="2553" max="2553" width="9.59765625" bestFit="1" customWidth="1"/>
    <col min="2805" max="2805" width="4" customWidth="1"/>
    <col min="2806" max="2806" width="7.09765625" customWidth="1"/>
    <col min="2807" max="2807" width="9.09765625" customWidth="1"/>
    <col min="2808" max="2808" width="5.3984375" customWidth="1"/>
    <col min="2809" max="2809" width="9.59765625" bestFit="1" customWidth="1"/>
    <col min="3061" max="3061" width="4" customWidth="1"/>
    <col min="3062" max="3062" width="7.09765625" customWidth="1"/>
    <col min="3063" max="3063" width="9.09765625" customWidth="1"/>
    <col min="3064" max="3064" width="5.3984375" customWidth="1"/>
    <col min="3065" max="3065" width="9.59765625" bestFit="1" customWidth="1"/>
    <col min="3317" max="3317" width="4" customWidth="1"/>
    <col min="3318" max="3318" width="7.09765625" customWidth="1"/>
    <col min="3319" max="3319" width="9.09765625" customWidth="1"/>
    <col min="3320" max="3320" width="5.3984375" customWidth="1"/>
    <col min="3321" max="3321" width="9.59765625" bestFit="1" customWidth="1"/>
    <col min="3573" max="3573" width="4" customWidth="1"/>
    <col min="3574" max="3574" width="7.09765625" customWidth="1"/>
    <col min="3575" max="3575" width="9.09765625" customWidth="1"/>
    <col min="3576" max="3576" width="5.3984375" customWidth="1"/>
    <col min="3577" max="3577" width="9.59765625" bestFit="1" customWidth="1"/>
    <col min="3829" max="3829" width="4" customWidth="1"/>
    <col min="3830" max="3830" width="7.09765625" customWidth="1"/>
    <col min="3831" max="3831" width="9.09765625" customWidth="1"/>
    <col min="3832" max="3832" width="5.3984375" customWidth="1"/>
    <col min="3833" max="3833" width="9.59765625" bestFit="1" customWidth="1"/>
    <col min="4085" max="4085" width="4" customWidth="1"/>
    <col min="4086" max="4086" width="7.09765625" customWidth="1"/>
    <col min="4087" max="4087" width="9.09765625" customWidth="1"/>
    <col min="4088" max="4088" width="5.3984375" customWidth="1"/>
    <col min="4089" max="4089" width="9.59765625" bestFit="1" customWidth="1"/>
    <col min="4341" max="4341" width="4" customWidth="1"/>
    <col min="4342" max="4342" width="7.09765625" customWidth="1"/>
    <col min="4343" max="4343" width="9.09765625" customWidth="1"/>
    <col min="4344" max="4344" width="5.3984375" customWidth="1"/>
    <col min="4345" max="4345" width="9.59765625" bestFit="1" customWidth="1"/>
    <col min="4597" max="4597" width="4" customWidth="1"/>
    <col min="4598" max="4598" width="7.09765625" customWidth="1"/>
    <col min="4599" max="4599" width="9.09765625" customWidth="1"/>
    <col min="4600" max="4600" width="5.3984375" customWidth="1"/>
    <col min="4601" max="4601" width="9.59765625" bestFit="1" customWidth="1"/>
    <col min="4853" max="4853" width="4" customWidth="1"/>
    <col min="4854" max="4854" width="7.09765625" customWidth="1"/>
    <col min="4855" max="4855" width="9.09765625" customWidth="1"/>
    <col min="4856" max="4856" width="5.3984375" customWidth="1"/>
    <col min="4857" max="4857" width="9.59765625" bestFit="1" customWidth="1"/>
    <col min="5109" max="5109" width="4" customWidth="1"/>
    <col min="5110" max="5110" width="7.09765625" customWidth="1"/>
    <col min="5111" max="5111" width="9.09765625" customWidth="1"/>
    <col min="5112" max="5112" width="5.3984375" customWidth="1"/>
    <col min="5113" max="5113" width="9.59765625" bestFit="1" customWidth="1"/>
    <col min="5365" max="5365" width="4" customWidth="1"/>
    <col min="5366" max="5366" width="7.09765625" customWidth="1"/>
    <col min="5367" max="5367" width="9.09765625" customWidth="1"/>
    <col min="5368" max="5368" width="5.3984375" customWidth="1"/>
    <col min="5369" max="5369" width="9.59765625" bestFit="1" customWidth="1"/>
    <col min="5621" max="5621" width="4" customWidth="1"/>
    <col min="5622" max="5622" width="7.09765625" customWidth="1"/>
    <col min="5623" max="5623" width="9.09765625" customWidth="1"/>
    <col min="5624" max="5624" width="5.3984375" customWidth="1"/>
    <col min="5625" max="5625" width="9.59765625" bestFit="1" customWidth="1"/>
    <col min="5877" max="5877" width="4" customWidth="1"/>
    <col min="5878" max="5878" width="7.09765625" customWidth="1"/>
    <col min="5879" max="5879" width="9.09765625" customWidth="1"/>
    <col min="5880" max="5880" width="5.3984375" customWidth="1"/>
    <col min="5881" max="5881" width="9.59765625" bestFit="1" customWidth="1"/>
    <col min="6133" max="6133" width="4" customWidth="1"/>
    <col min="6134" max="6134" width="7.09765625" customWidth="1"/>
    <col min="6135" max="6135" width="9.09765625" customWidth="1"/>
    <col min="6136" max="6136" width="5.3984375" customWidth="1"/>
    <col min="6137" max="6137" width="9.59765625" bestFit="1" customWidth="1"/>
    <col min="6389" max="6389" width="4" customWidth="1"/>
    <col min="6390" max="6390" width="7.09765625" customWidth="1"/>
    <col min="6391" max="6391" width="9.09765625" customWidth="1"/>
    <col min="6392" max="6392" width="5.3984375" customWidth="1"/>
    <col min="6393" max="6393" width="9.59765625" bestFit="1" customWidth="1"/>
    <col min="6645" max="6645" width="4" customWidth="1"/>
    <col min="6646" max="6646" width="7.09765625" customWidth="1"/>
    <col min="6647" max="6647" width="9.09765625" customWidth="1"/>
    <col min="6648" max="6648" width="5.3984375" customWidth="1"/>
    <col min="6649" max="6649" width="9.59765625" bestFit="1" customWidth="1"/>
    <col min="6901" max="6901" width="4" customWidth="1"/>
    <col min="6902" max="6902" width="7.09765625" customWidth="1"/>
    <col min="6903" max="6903" width="9.09765625" customWidth="1"/>
    <col min="6904" max="6904" width="5.3984375" customWidth="1"/>
    <col min="6905" max="6905" width="9.59765625" bestFit="1" customWidth="1"/>
    <col min="7157" max="7157" width="4" customWidth="1"/>
    <col min="7158" max="7158" width="7.09765625" customWidth="1"/>
    <col min="7159" max="7159" width="9.09765625" customWidth="1"/>
    <col min="7160" max="7160" width="5.3984375" customWidth="1"/>
    <col min="7161" max="7161" width="9.59765625" bestFit="1" customWidth="1"/>
    <col min="7413" max="7413" width="4" customWidth="1"/>
    <col min="7414" max="7414" width="7.09765625" customWidth="1"/>
    <col min="7415" max="7415" width="9.09765625" customWidth="1"/>
    <col min="7416" max="7416" width="5.3984375" customWidth="1"/>
    <col min="7417" max="7417" width="9.59765625" bestFit="1" customWidth="1"/>
    <col min="7669" max="7669" width="4" customWidth="1"/>
    <col min="7670" max="7670" width="7.09765625" customWidth="1"/>
    <col min="7671" max="7671" width="9.09765625" customWidth="1"/>
    <col min="7672" max="7672" width="5.3984375" customWidth="1"/>
    <col min="7673" max="7673" width="9.59765625" bestFit="1" customWidth="1"/>
    <col min="7925" max="7925" width="4" customWidth="1"/>
    <col min="7926" max="7926" width="7.09765625" customWidth="1"/>
    <col min="7927" max="7927" width="9.09765625" customWidth="1"/>
    <col min="7928" max="7928" width="5.3984375" customWidth="1"/>
    <col min="7929" max="7929" width="9.59765625" bestFit="1" customWidth="1"/>
    <col min="8181" max="8181" width="4" customWidth="1"/>
    <col min="8182" max="8182" width="7.09765625" customWidth="1"/>
    <col min="8183" max="8183" width="9.09765625" customWidth="1"/>
    <col min="8184" max="8184" width="5.3984375" customWidth="1"/>
    <col min="8185" max="8185" width="9.59765625" bestFit="1" customWidth="1"/>
    <col min="8437" max="8437" width="4" customWidth="1"/>
    <col min="8438" max="8438" width="7.09765625" customWidth="1"/>
    <col min="8439" max="8439" width="9.09765625" customWidth="1"/>
    <col min="8440" max="8440" width="5.3984375" customWidth="1"/>
    <col min="8441" max="8441" width="9.59765625" bestFit="1" customWidth="1"/>
    <col min="8693" max="8693" width="4" customWidth="1"/>
    <col min="8694" max="8694" width="7.09765625" customWidth="1"/>
    <col min="8695" max="8695" width="9.09765625" customWidth="1"/>
    <col min="8696" max="8696" width="5.3984375" customWidth="1"/>
    <col min="8697" max="8697" width="9.59765625" bestFit="1" customWidth="1"/>
    <col min="8949" max="8949" width="4" customWidth="1"/>
    <col min="8950" max="8950" width="7.09765625" customWidth="1"/>
    <col min="8951" max="8951" width="9.09765625" customWidth="1"/>
    <col min="8952" max="8952" width="5.3984375" customWidth="1"/>
    <col min="8953" max="8953" width="9.59765625" bestFit="1" customWidth="1"/>
    <col min="9205" max="9205" width="4" customWidth="1"/>
    <col min="9206" max="9206" width="7.09765625" customWidth="1"/>
    <col min="9207" max="9207" width="9.09765625" customWidth="1"/>
    <col min="9208" max="9208" width="5.3984375" customWidth="1"/>
    <col min="9209" max="9209" width="9.59765625" bestFit="1" customWidth="1"/>
    <col min="9461" max="9461" width="4" customWidth="1"/>
    <col min="9462" max="9462" width="7.09765625" customWidth="1"/>
    <col min="9463" max="9463" width="9.09765625" customWidth="1"/>
    <col min="9464" max="9464" width="5.3984375" customWidth="1"/>
    <col min="9465" max="9465" width="9.59765625" bestFit="1" customWidth="1"/>
    <col min="9717" max="9717" width="4" customWidth="1"/>
    <col min="9718" max="9718" width="7.09765625" customWidth="1"/>
    <col min="9719" max="9719" width="9.09765625" customWidth="1"/>
    <col min="9720" max="9720" width="5.3984375" customWidth="1"/>
    <col min="9721" max="9721" width="9.59765625" bestFit="1" customWidth="1"/>
    <col min="9973" max="9973" width="4" customWidth="1"/>
    <col min="9974" max="9974" width="7.09765625" customWidth="1"/>
    <col min="9975" max="9975" width="9.09765625" customWidth="1"/>
    <col min="9976" max="9976" width="5.3984375" customWidth="1"/>
    <col min="9977" max="9977" width="9.59765625" bestFit="1" customWidth="1"/>
    <col min="10229" max="10229" width="4" customWidth="1"/>
    <col min="10230" max="10230" width="7.09765625" customWidth="1"/>
    <col min="10231" max="10231" width="9.09765625" customWidth="1"/>
    <col min="10232" max="10232" width="5.3984375" customWidth="1"/>
    <col min="10233" max="10233" width="9.59765625" bestFit="1" customWidth="1"/>
    <col min="10485" max="10485" width="4" customWidth="1"/>
    <col min="10486" max="10486" width="7.09765625" customWidth="1"/>
    <col min="10487" max="10487" width="9.09765625" customWidth="1"/>
    <col min="10488" max="10488" width="5.3984375" customWidth="1"/>
    <col min="10489" max="10489" width="9.59765625" bestFit="1" customWidth="1"/>
    <col min="10741" max="10741" width="4" customWidth="1"/>
    <col min="10742" max="10742" width="7.09765625" customWidth="1"/>
    <col min="10743" max="10743" width="9.09765625" customWidth="1"/>
    <col min="10744" max="10744" width="5.3984375" customWidth="1"/>
    <col min="10745" max="10745" width="9.59765625" bestFit="1" customWidth="1"/>
    <col min="10997" max="10997" width="4" customWidth="1"/>
    <col min="10998" max="10998" width="7.09765625" customWidth="1"/>
    <col min="10999" max="10999" width="9.09765625" customWidth="1"/>
    <col min="11000" max="11000" width="5.3984375" customWidth="1"/>
    <col min="11001" max="11001" width="9.59765625" bestFit="1" customWidth="1"/>
    <col min="11253" max="11253" width="4" customWidth="1"/>
    <col min="11254" max="11254" width="7.09765625" customWidth="1"/>
    <col min="11255" max="11255" width="9.09765625" customWidth="1"/>
    <col min="11256" max="11256" width="5.3984375" customWidth="1"/>
    <col min="11257" max="11257" width="9.59765625" bestFit="1" customWidth="1"/>
    <col min="11509" max="11509" width="4" customWidth="1"/>
    <col min="11510" max="11510" width="7.09765625" customWidth="1"/>
    <col min="11511" max="11511" width="9.09765625" customWidth="1"/>
    <col min="11512" max="11512" width="5.3984375" customWidth="1"/>
    <col min="11513" max="11513" width="9.59765625" bestFit="1" customWidth="1"/>
    <col min="11765" max="11765" width="4" customWidth="1"/>
    <col min="11766" max="11766" width="7.09765625" customWidth="1"/>
    <col min="11767" max="11767" width="9.09765625" customWidth="1"/>
    <col min="11768" max="11768" width="5.3984375" customWidth="1"/>
    <col min="11769" max="11769" width="9.59765625" bestFit="1" customWidth="1"/>
    <col min="12021" max="12021" width="4" customWidth="1"/>
    <col min="12022" max="12022" width="7.09765625" customWidth="1"/>
    <col min="12023" max="12023" width="9.09765625" customWidth="1"/>
    <col min="12024" max="12024" width="5.3984375" customWidth="1"/>
    <col min="12025" max="12025" width="9.59765625" bestFit="1" customWidth="1"/>
    <col min="12277" max="12277" width="4" customWidth="1"/>
    <col min="12278" max="12278" width="7.09765625" customWidth="1"/>
    <col min="12279" max="12279" width="9.09765625" customWidth="1"/>
    <col min="12280" max="12280" width="5.3984375" customWidth="1"/>
    <col min="12281" max="12281" width="9.59765625" bestFit="1" customWidth="1"/>
    <col min="12533" max="12533" width="4" customWidth="1"/>
    <col min="12534" max="12534" width="7.09765625" customWidth="1"/>
    <col min="12535" max="12535" width="9.09765625" customWidth="1"/>
    <col min="12536" max="12536" width="5.3984375" customWidth="1"/>
    <col min="12537" max="12537" width="9.59765625" bestFit="1" customWidth="1"/>
    <col min="12789" max="12789" width="4" customWidth="1"/>
    <col min="12790" max="12790" width="7.09765625" customWidth="1"/>
    <col min="12791" max="12791" width="9.09765625" customWidth="1"/>
    <col min="12792" max="12792" width="5.3984375" customWidth="1"/>
    <col min="12793" max="12793" width="9.59765625" bestFit="1" customWidth="1"/>
    <col min="13045" max="13045" width="4" customWidth="1"/>
    <col min="13046" max="13046" width="7.09765625" customWidth="1"/>
    <col min="13047" max="13047" width="9.09765625" customWidth="1"/>
    <col min="13048" max="13048" width="5.3984375" customWidth="1"/>
    <col min="13049" max="13049" width="9.59765625" bestFit="1" customWidth="1"/>
    <col min="13301" max="13301" width="4" customWidth="1"/>
    <col min="13302" max="13302" width="7.09765625" customWidth="1"/>
    <col min="13303" max="13303" width="9.09765625" customWidth="1"/>
    <col min="13304" max="13304" width="5.3984375" customWidth="1"/>
    <col min="13305" max="13305" width="9.59765625" bestFit="1" customWidth="1"/>
    <col min="13557" max="13557" width="4" customWidth="1"/>
    <col min="13558" max="13558" width="7.09765625" customWidth="1"/>
    <col min="13559" max="13559" width="9.09765625" customWidth="1"/>
    <col min="13560" max="13560" width="5.3984375" customWidth="1"/>
    <col min="13561" max="13561" width="9.59765625" bestFit="1" customWidth="1"/>
    <col min="13813" max="13813" width="4" customWidth="1"/>
    <col min="13814" max="13814" width="7.09765625" customWidth="1"/>
    <col min="13815" max="13815" width="9.09765625" customWidth="1"/>
    <col min="13816" max="13816" width="5.3984375" customWidth="1"/>
    <col min="13817" max="13817" width="9.59765625" bestFit="1" customWidth="1"/>
    <col min="14069" max="14069" width="4" customWidth="1"/>
    <col min="14070" max="14070" width="7.09765625" customWidth="1"/>
    <col min="14071" max="14071" width="9.09765625" customWidth="1"/>
    <col min="14072" max="14072" width="5.3984375" customWidth="1"/>
    <col min="14073" max="14073" width="9.59765625" bestFit="1" customWidth="1"/>
    <col min="14325" max="14325" width="4" customWidth="1"/>
    <col min="14326" max="14326" width="7.09765625" customWidth="1"/>
    <col min="14327" max="14327" width="9.09765625" customWidth="1"/>
    <col min="14328" max="14328" width="5.3984375" customWidth="1"/>
    <col min="14329" max="14329" width="9.59765625" bestFit="1" customWidth="1"/>
    <col min="14581" max="14581" width="4" customWidth="1"/>
    <col min="14582" max="14582" width="7.09765625" customWidth="1"/>
    <col min="14583" max="14583" width="9.09765625" customWidth="1"/>
    <col min="14584" max="14584" width="5.3984375" customWidth="1"/>
    <col min="14585" max="14585" width="9.59765625" bestFit="1" customWidth="1"/>
    <col min="14837" max="14837" width="4" customWidth="1"/>
    <col min="14838" max="14838" width="7.09765625" customWidth="1"/>
    <col min="14839" max="14839" width="9.09765625" customWidth="1"/>
    <col min="14840" max="14840" width="5.3984375" customWidth="1"/>
    <col min="14841" max="14841" width="9.59765625" bestFit="1" customWidth="1"/>
    <col min="15093" max="15093" width="4" customWidth="1"/>
    <col min="15094" max="15094" width="7.09765625" customWidth="1"/>
    <col min="15095" max="15095" width="9.09765625" customWidth="1"/>
    <col min="15096" max="15096" width="5.3984375" customWidth="1"/>
    <col min="15097" max="15097" width="9.59765625" bestFit="1" customWidth="1"/>
    <col min="15349" max="15349" width="4" customWidth="1"/>
    <col min="15350" max="15350" width="7.09765625" customWidth="1"/>
    <col min="15351" max="15351" width="9.09765625" customWidth="1"/>
    <col min="15352" max="15352" width="5.3984375" customWidth="1"/>
    <col min="15353" max="15353" width="9.59765625" bestFit="1" customWidth="1"/>
    <col min="15605" max="15605" width="4" customWidth="1"/>
    <col min="15606" max="15606" width="7.09765625" customWidth="1"/>
    <col min="15607" max="15607" width="9.09765625" customWidth="1"/>
    <col min="15608" max="15608" width="5.3984375" customWidth="1"/>
    <col min="15609" max="15609" width="9.59765625" bestFit="1" customWidth="1"/>
    <col min="15861" max="15861" width="4" customWidth="1"/>
    <col min="15862" max="15862" width="7.09765625" customWidth="1"/>
    <col min="15863" max="15863" width="9.09765625" customWidth="1"/>
    <col min="15864" max="15864" width="5.3984375" customWidth="1"/>
    <col min="15865" max="15865" width="9.59765625" bestFit="1" customWidth="1"/>
    <col min="16117" max="16117" width="4" customWidth="1"/>
    <col min="16118" max="16118" width="7.09765625" customWidth="1"/>
    <col min="16119" max="16119" width="9.09765625" customWidth="1"/>
    <col min="16120" max="16120" width="5.3984375" customWidth="1"/>
    <col min="16121" max="16121" width="9.59765625" bestFit="1" customWidth="1"/>
  </cols>
  <sheetData>
    <row r="1" spans="1:10" ht="16.25" thickBot="1" x14ac:dyDescent="0.35">
      <c r="A1" s="99"/>
      <c r="B1" s="99"/>
      <c r="C1" s="649" t="s">
        <v>756</v>
      </c>
      <c r="D1" s="650"/>
      <c r="E1" s="650"/>
      <c r="F1" s="650"/>
      <c r="G1" s="650"/>
      <c r="H1" s="650"/>
      <c r="I1" s="650"/>
      <c r="J1" s="651"/>
    </row>
    <row r="2" spans="1:10" ht="14.4" x14ac:dyDescent="0.3">
      <c r="A2" s="239"/>
    </row>
    <row r="3" spans="1:10" ht="14.4" x14ac:dyDescent="0.3">
      <c r="C3" s="237" t="s">
        <v>628</v>
      </c>
      <c r="D3" s="237"/>
      <c r="E3" s="663">
        <f>ProviderName</f>
        <v>0</v>
      </c>
      <c r="F3" s="664"/>
      <c r="G3" s="664"/>
      <c r="H3" s="664"/>
      <c r="I3" s="664"/>
      <c r="J3" s="664"/>
    </row>
    <row r="4" spans="1:10" ht="14.4" x14ac:dyDescent="0.3">
      <c r="C4" s="237"/>
      <c r="D4" s="237"/>
      <c r="E4" s="237"/>
      <c r="F4" s="237"/>
      <c r="G4" s="237"/>
      <c r="H4" s="237"/>
      <c r="I4" s="237"/>
      <c r="J4" s="237"/>
    </row>
    <row r="5" spans="1:10" ht="14.4" x14ac:dyDescent="0.3">
      <c r="C5" s="237" t="s">
        <v>798</v>
      </c>
      <c r="D5" s="237"/>
      <c r="E5" s="663" t="str">
        <f xml:space="preserve"> Application!E11 &amp; ", " &amp; Application!E14 &amp; ", " &amp; Application!H14 &amp; "  " &amp; Application!J14</f>
        <v xml:space="preserve">, ,   </v>
      </c>
      <c r="F5" s="664"/>
      <c r="G5" s="664"/>
      <c r="H5" s="664"/>
      <c r="I5" s="664"/>
      <c r="J5" s="664"/>
    </row>
    <row r="6" spans="1:10" ht="14.4" x14ac:dyDescent="0.3">
      <c r="C6" s="240" t="s">
        <v>795</v>
      </c>
      <c r="D6" s="237"/>
      <c r="E6" s="663" t="str">
        <f xml:space="preserve"> IF(ISBLANK(UnitNumber), "None Listed", UnitNumber)</f>
        <v>None Listed</v>
      </c>
      <c r="F6" s="664"/>
      <c r="G6" s="664"/>
      <c r="H6" s="664"/>
      <c r="I6" s="664"/>
      <c r="J6" s="664"/>
    </row>
    <row r="7" spans="1:10" ht="14.4" x14ac:dyDescent="0.3">
      <c r="C7" s="669" t="s">
        <v>785</v>
      </c>
      <c r="D7" s="490"/>
      <c r="E7" s="700"/>
      <c r="F7" s="701"/>
      <c r="G7" s="701"/>
      <c r="H7" s="405"/>
      <c r="I7" s="405"/>
      <c r="J7" s="405"/>
    </row>
    <row r="8" spans="1:10" ht="14.4" x14ac:dyDescent="0.3">
      <c r="C8" s="237"/>
      <c r="D8" s="237"/>
      <c r="E8" s="237"/>
      <c r="F8" s="237"/>
      <c r="G8" s="237"/>
      <c r="H8" s="237"/>
      <c r="I8" s="237"/>
      <c r="J8" s="237"/>
    </row>
    <row r="9" spans="1:10" ht="14.4" x14ac:dyDescent="0.3">
      <c r="C9" s="237" t="s">
        <v>122</v>
      </c>
      <c r="D9" s="237"/>
      <c r="E9" s="665">
        <f>Application!J8</f>
        <v>0</v>
      </c>
      <c r="F9" s="666"/>
      <c r="G9" s="666"/>
      <c r="H9" s="666"/>
      <c r="I9" s="666"/>
      <c r="J9" s="666"/>
    </row>
    <row r="10" spans="1:10" ht="14.4" x14ac:dyDescent="0.3">
      <c r="C10" s="237"/>
      <c r="D10" s="237"/>
      <c r="E10" s="238"/>
      <c r="F10" s="237"/>
      <c r="G10" s="237"/>
      <c r="H10" s="238"/>
      <c r="I10" s="237"/>
      <c r="J10" s="237"/>
    </row>
    <row r="11" spans="1:10" ht="31.7" customHeight="1" x14ac:dyDescent="0.3">
      <c r="C11" s="658" t="s">
        <v>89</v>
      </c>
      <c r="D11" s="659"/>
      <c r="E11" s="660">
        <f xml:space="preserve">  IF(ISNUMBER(Application!M68), Application!M68,  IF(ISNUMBER(ActiveCap), ActiveCap, PerPersonBeforeOfffsets))</f>
        <v>0</v>
      </c>
      <c r="F11" s="661"/>
      <c r="G11" s="661"/>
      <c r="H11" s="667" t="str">
        <f>IF(ISNUMBER(Application!M68), "From Exception Override", "")</f>
        <v/>
      </c>
      <c r="I11" s="668"/>
      <c r="J11" s="668"/>
    </row>
    <row r="12" spans="1:10" ht="14.4" x14ac:dyDescent="0.3">
      <c r="C12" s="237"/>
      <c r="D12" s="237"/>
      <c r="E12" s="237"/>
      <c r="F12" s="237"/>
      <c r="G12" s="237"/>
      <c r="H12" s="237"/>
      <c r="I12" s="237"/>
      <c r="J12" s="237"/>
    </row>
    <row r="13" spans="1:10" ht="31.7" customHeight="1" x14ac:dyDescent="0.3">
      <c r="C13" s="658" t="s">
        <v>676</v>
      </c>
      <c r="D13" s="659"/>
      <c r="E13" s="659"/>
      <c r="F13" s="660">
        <f xml:space="preserve"> IF(ISNUMBER(Application!M68), Application!M68*Application!I18,   IF(ISNUMBER(ActiveCap),  IFERROR(ActiveCap * ALTRCapacity,0),IFERROR(PerPersonBeforeOfffsets*ALTRCapacity,0)))</f>
        <v>0</v>
      </c>
      <c r="G13" s="661"/>
      <c r="H13" s="658" t="str">
        <f ca="1" xml:space="preserve">  IF(ISNUMBER(Application!M68), "From Exception Override", "") &amp; Break &amp;   "Funded Capacity =  " &amp; ALTRCapacity &amp; "  individuals"</f>
        <v xml:space="preserve">
Funded Capacity =    individuals</v>
      </c>
      <c r="I13" s="662"/>
      <c r="J13" s="662"/>
    </row>
    <row r="14" spans="1:10" x14ac:dyDescent="0.3">
      <c r="C14" s="237"/>
      <c r="D14" s="237"/>
      <c r="E14" s="237"/>
      <c r="F14" s="237"/>
      <c r="G14" s="237"/>
      <c r="H14" s="237"/>
      <c r="I14" s="237"/>
      <c r="J14" s="237"/>
    </row>
    <row r="15" spans="1:10" ht="14.55" thickBot="1" x14ac:dyDescent="0.35">
      <c r="B15" s="160"/>
      <c r="C15" s="240" t="s">
        <v>799</v>
      </c>
      <c r="D15" s="237"/>
      <c r="E15" s="237"/>
      <c r="F15" s="237"/>
      <c r="G15" s="237"/>
      <c r="H15" s="237"/>
      <c r="I15" s="237"/>
      <c r="J15" s="237"/>
    </row>
    <row r="16" spans="1:10" x14ac:dyDescent="0.3">
      <c r="C16" s="689" t="s">
        <v>800</v>
      </c>
      <c r="D16" s="690"/>
      <c r="E16" s="690"/>
      <c r="F16" s="690"/>
      <c r="G16" s="690"/>
      <c r="H16" s="690"/>
      <c r="I16" s="690"/>
      <c r="J16" s="691"/>
    </row>
    <row r="17" spans="3:10" x14ac:dyDescent="0.3">
      <c r="C17" s="692"/>
      <c r="D17" s="693"/>
      <c r="E17" s="693"/>
      <c r="F17" s="693"/>
      <c r="G17" s="693"/>
      <c r="H17" s="693"/>
      <c r="I17" s="693"/>
      <c r="J17" s="694"/>
    </row>
    <row r="18" spans="3:10" x14ac:dyDescent="0.3">
      <c r="C18" s="692"/>
      <c r="D18" s="693"/>
      <c r="E18" s="693"/>
      <c r="F18" s="693"/>
      <c r="G18" s="693"/>
      <c r="H18" s="693"/>
      <c r="I18" s="693"/>
      <c r="J18" s="694"/>
    </row>
    <row r="19" spans="3:10" x14ac:dyDescent="0.3">
      <c r="C19" s="692"/>
      <c r="D19" s="693"/>
      <c r="E19" s="693"/>
      <c r="F19" s="693"/>
      <c r="G19" s="693"/>
      <c r="H19" s="693"/>
      <c r="I19" s="693"/>
      <c r="J19" s="694"/>
    </row>
    <row r="20" spans="3:10" x14ac:dyDescent="0.3">
      <c r="C20" s="692"/>
      <c r="D20" s="693"/>
      <c r="E20" s="693"/>
      <c r="F20" s="693"/>
      <c r="G20" s="693"/>
      <c r="H20" s="693"/>
      <c r="I20" s="693"/>
      <c r="J20" s="694"/>
    </row>
    <row r="21" spans="3:10" x14ac:dyDescent="0.3">
      <c r="C21" s="692"/>
      <c r="D21" s="693"/>
      <c r="E21" s="693"/>
      <c r="F21" s="693"/>
      <c r="G21" s="693"/>
      <c r="H21" s="693"/>
      <c r="I21" s="693"/>
      <c r="J21" s="694"/>
    </row>
    <row r="22" spans="3:10" x14ac:dyDescent="0.3">
      <c r="C22" s="692"/>
      <c r="D22" s="693"/>
      <c r="E22" s="693"/>
      <c r="F22" s="693"/>
      <c r="G22" s="693"/>
      <c r="H22" s="693"/>
      <c r="I22" s="693"/>
      <c r="J22" s="694"/>
    </row>
    <row r="23" spans="3:10" ht="14.55" thickBot="1" x14ac:dyDescent="0.35">
      <c r="C23" s="695"/>
      <c r="D23" s="696"/>
      <c r="E23" s="696"/>
      <c r="F23" s="696"/>
      <c r="G23" s="696"/>
      <c r="H23" s="696"/>
      <c r="I23" s="696"/>
      <c r="J23" s="697"/>
    </row>
    <row r="24" spans="3:10" ht="14.55" thickBot="1" x14ac:dyDescent="0.35">
      <c r="C24" s="381"/>
      <c r="D24" s="381"/>
      <c r="E24" s="381"/>
      <c r="F24" s="381"/>
      <c r="G24" s="381"/>
      <c r="H24" s="381"/>
      <c r="I24" s="381"/>
      <c r="J24" s="381"/>
    </row>
    <row r="25" spans="3:10" ht="28.5" customHeight="1" thickBot="1" x14ac:dyDescent="0.35">
      <c r="C25" s="428" t="s">
        <v>778</v>
      </c>
      <c r="D25" s="428"/>
      <c r="E25" s="698" t="s">
        <v>874</v>
      </c>
      <c r="F25" s="699"/>
      <c r="G25" s="428"/>
      <c r="H25" s="702" t="str">
        <f>IF(RateApprovalType="Provisional","Provisional Rate Expiration Date:","")</f>
        <v/>
      </c>
      <c r="I25" s="703"/>
      <c r="J25" s="427"/>
    </row>
    <row r="26" spans="3:10" ht="16.55" customHeight="1" thickBot="1" x14ac:dyDescent="0.35">
      <c r="C26" s="216"/>
      <c r="D26" s="216"/>
      <c r="E26" s="216"/>
      <c r="F26" s="216"/>
      <c r="G26" s="216"/>
      <c r="H26" s="216"/>
      <c r="I26" s="216"/>
      <c r="J26" s="216"/>
    </row>
    <row r="27" spans="3:10" ht="14.55" thickBot="1" x14ac:dyDescent="0.35">
      <c r="C27" s="652" t="s">
        <v>90</v>
      </c>
      <c r="D27" s="653"/>
      <c r="E27" s="653"/>
      <c r="F27" s="653"/>
      <c r="G27" s="653"/>
      <c r="H27" s="653"/>
      <c r="I27" s="653"/>
      <c r="J27" s="654"/>
    </row>
    <row r="28" spans="3:10" x14ac:dyDescent="0.3">
      <c r="C28" s="403" t="s">
        <v>801</v>
      </c>
      <c r="D28" s="677"/>
      <c r="E28" s="678"/>
      <c r="F28" s="678"/>
      <c r="G28" s="678"/>
      <c r="H28" s="678"/>
      <c r="I28" s="678"/>
      <c r="J28" s="679"/>
    </row>
    <row r="29" spans="3:10" x14ac:dyDescent="0.3">
      <c r="C29" s="404" t="s">
        <v>31</v>
      </c>
      <c r="D29" s="680"/>
      <c r="E29" s="681"/>
      <c r="F29" s="681"/>
      <c r="G29" s="681"/>
      <c r="H29" s="681"/>
      <c r="I29" s="681"/>
      <c r="J29" s="682"/>
    </row>
    <row r="30" spans="3:10" ht="19.5" hidden="1" customHeight="1" x14ac:dyDescent="0.3">
      <c r="C30" s="655"/>
      <c r="D30" s="656"/>
      <c r="E30" s="656"/>
      <c r="F30" s="656"/>
      <c r="G30" s="656"/>
      <c r="H30" s="656"/>
      <c r="I30" s="656"/>
      <c r="J30" s="657"/>
    </row>
    <row r="31" spans="3:10" ht="14.55" thickBot="1" x14ac:dyDescent="0.35">
      <c r="C31" s="673" t="s">
        <v>32</v>
      </c>
      <c r="D31" s="674"/>
      <c r="E31" s="675"/>
      <c r="F31" s="676"/>
      <c r="G31" s="670" t="str">
        <f>IF(ISBLANK(E31), "&lt;-- Date Here", "")</f>
        <v>&lt;-- Date Here</v>
      </c>
      <c r="H31" s="671"/>
      <c r="I31" s="671"/>
      <c r="J31" s="672"/>
    </row>
    <row r="32" spans="3:10" ht="47.95" customHeight="1" thickBot="1" x14ac:dyDescent="0.35">
      <c r="C32" s="216"/>
      <c r="D32" s="216"/>
      <c r="E32" s="216"/>
      <c r="F32" s="216"/>
      <c r="G32" s="216"/>
      <c r="H32" s="216"/>
      <c r="I32" s="216"/>
      <c r="J32" s="216"/>
    </row>
    <row r="33" spans="3:10" ht="14.55" thickBot="1" x14ac:dyDescent="0.35">
      <c r="C33" s="652" t="s">
        <v>613</v>
      </c>
      <c r="D33" s="653"/>
      <c r="E33" s="653"/>
      <c r="F33" s="653"/>
      <c r="G33" s="653"/>
      <c r="H33" s="653"/>
      <c r="I33" s="653"/>
      <c r="J33" s="654"/>
    </row>
    <row r="34" spans="3:10" x14ac:dyDescent="0.3">
      <c r="C34" s="403" t="s">
        <v>677</v>
      </c>
      <c r="D34" s="686"/>
      <c r="E34" s="678"/>
      <c r="F34" s="678"/>
      <c r="G34" s="678"/>
      <c r="H34" s="687"/>
      <c r="I34" s="687"/>
      <c r="J34" s="688"/>
    </row>
    <row r="35" spans="3:10" x14ac:dyDescent="0.3">
      <c r="C35" s="404" t="s">
        <v>68</v>
      </c>
      <c r="D35" s="683"/>
      <c r="E35" s="684"/>
      <c r="F35" s="684"/>
      <c r="G35" s="684"/>
      <c r="H35" s="684"/>
      <c r="I35" s="684"/>
      <c r="J35" s="685"/>
    </row>
    <row r="36" spans="3:10" ht="0.8" customHeight="1" x14ac:dyDescent="0.3">
      <c r="C36" s="655"/>
      <c r="D36" s="656"/>
      <c r="E36" s="656"/>
      <c r="F36" s="656"/>
      <c r="G36" s="656"/>
      <c r="H36" s="656"/>
      <c r="I36" s="656"/>
      <c r="J36" s="657"/>
    </row>
    <row r="37" spans="3:10" ht="14.55" thickBot="1" x14ac:dyDescent="0.35">
      <c r="C37" s="673" t="s">
        <v>32</v>
      </c>
      <c r="D37" s="674"/>
      <c r="E37" s="675"/>
      <c r="F37" s="676"/>
      <c r="G37" s="670" t="str">
        <f>IF(ISBLANK(E37), "&lt;-- Date Here", "")</f>
        <v>&lt;-- Date Here</v>
      </c>
      <c r="H37" s="671"/>
      <c r="I37" s="671"/>
      <c r="J37" s="672"/>
    </row>
    <row r="39" spans="3:10" ht="14.55" thickBot="1" x14ac:dyDescent="0.35"/>
    <row r="40" spans="3:10" ht="36" customHeight="1" thickTop="1" thickBot="1" x14ac:dyDescent="0.35">
      <c r="C40" s="646" t="s">
        <v>787</v>
      </c>
      <c r="D40" s="647"/>
      <c r="E40" s="647"/>
      <c r="F40" s="647"/>
      <c r="G40" s="647"/>
      <c r="H40" s="647"/>
      <c r="I40" s="647"/>
      <c r="J40" s="648"/>
    </row>
    <row r="41" spans="3:10" ht="14.55" thickTop="1" x14ac:dyDescent="0.3"/>
  </sheetData>
  <sheetProtection algorithmName="SHA-512" hashValue="bOM4n9ijSsY4/zcDjxz+/rNs/+mUcVpbL3ZFsVH1oDzSTDU7NndgSu0FKmf5PiVzd6jvwz0ej/s5sY/t1mgL2g==" saltValue="xhYQrRrLhA5c2F5C6trMaA==" spinCount="100000" sheet="1" objects="1" scenarios="1"/>
  <mergeCells count="31">
    <mergeCell ref="D28:J28"/>
    <mergeCell ref="D29:J29"/>
    <mergeCell ref="D35:J35"/>
    <mergeCell ref="D34:J34"/>
    <mergeCell ref="E6:J6"/>
    <mergeCell ref="F13:G13"/>
    <mergeCell ref="C16:J23"/>
    <mergeCell ref="E25:F25"/>
    <mergeCell ref="E7:G7"/>
    <mergeCell ref="H25:I25"/>
    <mergeCell ref="C37:D37"/>
    <mergeCell ref="E37:F37"/>
    <mergeCell ref="E31:F31"/>
    <mergeCell ref="C31:D31"/>
    <mergeCell ref="G31:J31"/>
    <mergeCell ref="C40:J40"/>
    <mergeCell ref="C1:J1"/>
    <mergeCell ref="C27:J27"/>
    <mergeCell ref="C30:J30"/>
    <mergeCell ref="C13:E13"/>
    <mergeCell ref="E11:G11"/>
    <mergeCell ref="H13:J13"/>
    <mergeCell ref="E3:J3"/>
    <mergeCell ref="E5:J5"/>
    <mergeCell ref="E9:J9"/>
    <mergeCell ref="H11:J11"/>
    <mergeCell ref="C11:D11"/>
    <mergeCell ref="C7:D7"/>
    <mergeCell ref="G37:J37"/>
    <mergeCell ref="C33:J33"/>
    <mergeCell ref="C36:J36"/>
  </mergeCells>
  <conditionalFormatting sqref="E7">
    <cfRule type="containsBlanks" dxfId="1" priority="2">
      <formula>LEN(TRIM(E7))=0</formula>
    </cfRule>
  </conditionalFormatting>
  <conditionalFormatting sqref="J25">
    <cfRule type="expression" dxfId="0" priority="1">
      <formula>$E$25 = "Provisional"</formula>
    </cfRule>
  </conditionalFormatting>
  <dataValidations count="1">
    <dataValidation type="list" allowBlank="1" showInputMessage="1" showErrorMessage="1" sqref="E25" xr:uid="{C01FE29E-7106-43A7-873B-6D9DE7C54EF6}">
      <formula1>"Final,Provisional,Re-Priced"</formula1>
    </dataValidation>
  </dataValidations>
  <printOptions horizontalCentered="1"/>
  <pageMargins left="0.7" right="0.7" top="0.75" bottom="0.75" header="0.3" footer="0.3"/>
  <pageSetup scale="88" orientation="portrait" r:id="rId1"/>
  <headerFooter>
    <oddFooter>&amp;L&amp;9&amp;F&amp;R&amp;9Printed on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I23"/>
  <sheetViews>
    <sheetView zoomScale="175" zoomScaleNormal="175" workbookViewId="0">
      <selection activeCell="B1" sqref="B1:D1"/>
    </sheetView>
  </sheetViews>
  <sheetFormatPr defaultColWidth="9.09765625" defaultRowHeight="12.4" x14ac:dyDescent="0.3"/>
  <cols>
    <col min="1" max="1" width="9.09765625" style="18"/>
    <col min="2" max="2" width="51.3984375" style="18" customWidth="1"/>
    <col min="3" max="3" width="11.8984375" style="18" customWidth="1"/>
    <col min="4" max="4" width="10.59765625" style="18" customWidth="1"/>
    <col min="5" max="16384" width="9.09765625" style="18"/>
  </cols>
  <sheetData>
    <row r="1" spans="2:9" ht="35.5" customHeight="1" thickBot="1" x14ac:dyDescent="0.35">
      <c r="B1" s="704" t="s">
        <v>47</v>
      </c>
      <c r="C1" s="705"/>
      <c r="D1" s="706"/>
      <c r="E1" s="17"/>
      <c r="F1" s="17"/>
      <c r="G1" s="17"/>
      <c r="H1" s="17"/>
      <c r="I1" s="17"/>
    </row>
    <row r="3" spans="2:9" x14ac:dyDescent="0.3">
      <c r="B3" s="22" t="s">
        <v>48</v>
      </c>
      <c r="C3" s="22" t="s">
        <v>49</v>
      </c>
      <c r="D3" s="22" t="s">
        <v>50</v>
      </c>
    </row>
    <row r="4" spans="2:9" x14ac:dyDescent="0.3">
      <c r="B4" s="23" t="s">
        <v>33</v>
      </c>
    </row>
    <row r="5" spans="2:9" x14ac:dyDescent="0.3">
      <c r="B5" s="24" t="s">
        <v>34</v>
      </c>
      <c r="C5" s="25">
        <v>40</v>
      </c>
      <c r="D5" s="26">
        <v>2.5000000000000001E-2</v>
      </c>
    </row>
    <row r="6" spans="2:9" x14ac:dyDescent="0.3">
      <c r="B6" s="27" t="s">
        <v>35</v>
      </c>
      <c r="D6" s="28"/>
    </row>
    <row r="7" spans="2:9" x14ac:dyDescent="0.3">
      <c r="B7" s="27" t="s">
        <v>36</v>
      </c>
      <c r="D7" s="28"/>
    </row>
    <row r="8" spans="2:9" x14ac:dyDescent="0.3">
      <c r="B8" s="29" t="s">
        <v>37</v>
      </c>
      <c r="C8" s="30"/>
      <c r="D8" s="31"/>
    </row>
    <row r="9" spans="2:9" x14ac:dyDescent="0.3">
      <c r="B9" s="24" t="s">
        <v>38</v>
      </c>
      <c r="C9" s="25">
        <v>27.5</v>
      </c>
      <c r="D9" s="26">
        <v>3.5999999999999997E-2</v>
      </c>
    </row>
    <row r="10" spans="2:9" x14ac:dyDescent="0.3">
      <c r="B10" s="27" t="s">
        <v>39</v>
      </c>
      <c r="D10" s="28"/>
    </row>
    <row r="11" spans="2:9" x14ac:dyDescent="0.3">
      <c r="B11" s="27" t="s">
        <v>40</v>
      </c>
      <c r="D11" s="28"/>
    </row>
    <row r="12" spans="2:9" x14ac:dyDescent="0.3">
      <c r="B12" s="29" t="s">
        <v>41</v>
      </c>
      <c r="C12" s="30"/>
      <c r="D12" s="31"/>
    </row>
    <row r="13" spans="2:9" x14ac:dyDescent="0.3">
      <c r="B13" s="24" t="s">
        <v>105</v>
      </c>
      <c r="C13" s="25">
        <v>20</v>
      </c>
      <c r="D13" s="26">
        <v>0.05</v>
      </c>
    </row>
    <row r="14" spans="2:9" ht="12.1" customHeight="1" x14ac:dyDescent="0.3">
      <c r="B14" s="24" t="s">
        <v>104</v>
      </c>
      <c r="C14" s="707"/>
      <c r="D14" s="708"/>
    </row>
    <row r="15" spans="2:9" x14ac:dyDescent="0.3">
      <c r="B15" s="32" t="s">
        <v>51</v>
      </c>
      <c r="C15" s="33">
        <v>10</v>
      </c>
      <c r="D15" s="34">
        <v>0.1</v>
      </c>
    </row>
    <row r="16" spans="2:9" x14ac:dyDescent="0.3">
      <c r="B16" s="24" t="s">
        <v>107</v>
      </c>
      <c r="C16" s="25">
        <v>5</v>
      </c>
      <c r="D16" s="26">
        <v>0.2</v>
      </c>
    </row>
    <row r="17" spans="2:4" x14ac:dyDescent="0.3">
      <c r="B17" s="29" t="s">
        <v>108</v>
      </c>
      <c r="C17" s="30"/>
      <c r="D17" s="31"/>
    </row>
    <row r="18" spans="2:4" x14ac:dyDescent="0.3">
      <c r="B18" s="24" t="s">
        <v>42</v>
      </c>
      <c r="C18" s="25">
        <v>5</v>
      </c>
      <c r="D18" s="26">
        <v>0.2</v>
      </c>
    </row>
    <row r="19" spans="2:4" x14ac:dyDescent="0.3">
      <c r="B19" s="27" t="s">
        <v>43</v>
      </c>
      <c r="D19" s="28"/>
    </row>
    <row r="20" spans="2:4" x14ac:dyDescent="0.3">
      <c r="B20" s="27" t="s">
        <v>44</v>
      </c>
      <c r="D20" s="28"/>
    </row>
    <row r="21" spans="2:4" x14ac:dyDescent="0.3">
      <c r="B21" s="27" t="s">
        <v>45</v>
      </c>
      <c r="D21" s="28"/>
    </row>
    <row r="22" spans="2:4" x14ac:dyDescent="0.3">
      <c r="B22" s="27" t="s">
        <v>46</v>
      </c>
      <c r="D22" s="28"/>
    </row>
    <row r="23" spans="2:4" x14ac:dyDescent="0.3">
      <c r="B23" s="32" t="s">
        <v>52</v>
      </c>
      <c r="C23" s="33">
        <v>3</v>
      </c>
      <c r="D23" s="34">
        <v>0.33329999999999999</v>
      </c>
    </row>
  </sheetData>
  <sheetProtection algorithmName="SHA-512" hashValue="VSR6YFmIQnKyXPRxe1TcBuqTkzSJJNLcR4UkcmEFYNnfnUOhXyHc/cXntoU/Yd75L09TsZHkml9/xJEVl3hshA==" saltValue="bFfh1pH3i+eHm10lWaaGbA==" spinCount="100000" sheet="1" objects="1" scenarios="1" selectLockedCells="1" selectUnlockedCells="1"/>
  <mergeCells count="2">
    <mergeCell ref="B1:D1"/>
    <mergeCell ref="C14:D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B1:C8"/>
  <sheetViews>
    <sheetView zoomScale="145" zoomScaleNormal="145" workbookViewId="0">
      <selection activeCell="F22" sqref="F22"/>
    </sheetView>
  </sheetViews>
  <sheetFormatPr defaultRowHeight="14" x14ac:dyDescent="0.3"/>
  <cols>
    <col min="1" max="1" width="3.3984375" customWidth="1"/>
    <col min="2" max="2" width="85.8984375" customWidth="1"/>
  </cols>
  <sheetData>
    <row r="1" spans="2:3" ht="15.6" x14ac:dyDescent="0.3">
      <c r="B1" s="35" t="s">
        <v>22</v>
      </c>
      <c r="C1" s="36"/>
    </row>
    <row r="2" spans="2:3" x14ac:dyDescent="0.3">
      <c r="B2" s="35" t="s">
        <v>23</v>
      </c>
    </row>
    <row r="3" spans="2:3" ht="44.5" customHeight="1" x14ac:dyDescent="0.3">
      <c r="B3" s="37" t="s">
        <v>61</v>
      </c>
    </row>
    <row r="4" spans="2:3" ht="17.5" customHeight="1" x14ac:dyDescent="0.3">
      <c r="B4" s="37" t="s">
        <v>18</v>
      </c>
    </row>
    <row r="5" spans="2:3" ht="36" customHeight="1" x14ac:dyDescent="0.3">
      <c r="B5" s="37" t="s">
        <v>19</v>
      </c>
    </row>
    <row r="6" spans="2:3" ht="25.55" customHeight="1" x14ac:dyDescent="0.3">
      <c r="B6" s="37" t="s">
        <v>20</v>
      </c>
    </row>
    <row r="7" spans="2:3" ht="36.799999999999997" customHeight="1" x14ac:dyDescent="0.3">
      <c r="B7" s="37" t="s">
        <v>21</v>
      </c>
    </row>
    <row r="8" spans="2:3" ht="15.05" customHeight="1" x14ac:dyDescent="0.3">
      <c r="B8" s="37"/>
    </row>
  </sheetData>
  <sheetProtection algorithmName="SHA-512" hashValue="TVHo1Vj2YxpX3qL3WFkXedvu+pnhdvmOIfC59wJY+LHTiIIawxXWsevTd1OWsuAkHGwPyXSYV/olAOdvC2c2Lg==" saltValue="oQ6163s6GwV68q49pDiehQ==" spinCount="100000" sheet="1" objects="1" scenarios="1" selectLockedCells="1" selectUnlockedCell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36"/>
  <sheetViews>
    <sheetView zoomScale="115" zoomScaleNormal="115" workbookViewId="0">
      <selection activeCell="F1" sqref="F1:H1"/>
    </sheetView>
  </sheetViews>
  <sheetFormatPr defaultColWidth="9.09765625" defaultRowHeight="14" x14ac:dyDescent="0.3"/>
  <cols>
    <col min="1" max="1" width="11" style="243" customWidth="1"/>
    <col min="2" max="2" width="10" customWidth="1"/>
    <col min="3" max="3" width="16" customWidth="1"/>
    <col min="4" max="4" width="9.59765625" customWidth="1"/>
    <col min="6" max="6" width="14" customWidth="1"/>
    <col min="7" max="7" width="10.3984375" customWidth="1"/>
    <col min="8" max="8" width="20.8984375" customWidth="1"/>
    <col min="10" max="10" width="12" hidden="1" customWidth="1"/>
    <col min="11" max="11" width="9.09765625" customWidth="1"/>
    <col min="12" max="13" width="9.09765625" hidden="1" customWidth="1"/>
    <col min="14" max="14" width="17.296875" hidden="1" customWidth="1"/>
    <col min="15" max="15" width="9.09765625" hidden="1" customWidth="1"/>
    <col min="16" max="20" width="9.09765625" customWidth="1"/>
  </cols>
  <sheetData>
    <row r="1" spans="1:15" ht="61.55" customHeight="1" thickTop="1" x14ac:dyDescent="0.3">
      <c r="A1" s="306" t="s">
        <v>737</v>
      </c>
      <c r="B1" s="305" t="s">
        <v>859</v>
      </c>
      <c r="C1" s="305" t="s">
        <v>860</v>
      </c>
      <c r="D1" s="360" t="s">
        <v>768</v>
      </c>
      <c r="E1" s="216"/>
      <c r="F1" s="709" t="s">
        <v>128</v>
      </c>
      <c r="G1" s="710"/>
      <c r="H1" s="711"/>
      <c r="I1" s="241"/>
      <c r="L1" s="422" t="s">
        <v>861</v>
      </c>
      <c r="M1" s="422"/>
      <c r="N1" s="422"/>
      <c r="O1" s="422"/>
    </row>
    <row r="2" spans="1:15" x14ac:dyDescent="0.3">
      <c r="A2" s="308">
        <v>0.01</v>
      </c>
      <c r="B2" s="309">
        <v>3.9</v>
      </c>
      <c r="C2" s="310">
        <f>ROUND(B2*365/12,0)</f>
        <v>119</v>
      </c>
      <c r="D2" s="361">
        <v>1</v>
      </c>
      <c r="E2" s="216"/>
      <c r="F2" s="262" t="s">
        <v>124</v>
      </c>
      <c r="G2" s="263">
        <v>2100</v>
      </c>
      <c r="H2" s="264" t="s">
        <v>125</v>
      </c>
      <c r="I2" s="242"/>
      <c r="L2" s="422" t="s">
        <v>823</v>
      </c>
      <c r="M2" s="422"/>
      <c r="N2" s="422" t="s">
        <v>824</v>
      </c>
      <c r="O2" s="422" t="s">
        <v>825</v>
      </c>
    </row>
    <row r="3" spans="1:15" x14ac:dyDescent="0.3">
      <c r="A3" s="311">
        <v>3.85</v>
      </c>
      <c r="B3" s="312">
        <v>8.42</v>
      </c>
      <c r="C3" s="313">
        <f>ROUND(B3*365/12,0)</f>
        <v>256</v>
      </c>
      <c r="D3" s="362">
        <v>2</v>
      </c>
      <c r="E3" s="216"/>
      <c r="F3" s="265" t="s">
        <v>126</v>
      </c>
      <c r="G3" s="266">
        <v>2282</v>
      </c>
      <c r="H3" s="267" t="s">
        <v>125</v>
      </c>
      <c r="I3" s="242"/>
      <c r="L3" s="422">
        <v>1</v>
      </c>
      <c r="M3" s="422" t="str">
        <f>LEFT(N3,5)</f>
        <v>$0.01</v>
      </c>
      <c r="N3" s="422" t="s">
        <v>826</v>
      </c>
      <c r="O3" s="423">
        <v>3.9</v>
      </c>
    </row>
    <row r="4" spans="1:15" x14ac:dyDescent="0.3">
      <c r="A4" s="311">
        <v>8.31</v>
      </c>
      <c r="B4" s="312">
        <v>12.72</v>
      </c>
      <c r="C4" s="313">
        <f>ROUND(B4*365/12,0)</f>
        <v>387</v>
      </c>
      <c r="D4" s="362">
        <v>3</v>
      </c>
      <c r="E4" s="216"/>
      <c r="F4" s="265" t="s">
        <v>127</v>
      </c>
      <c r="G4" s="266">
        <v>2282</v>
      </c>
      <c r="H4" s="267" t="s">
        <v>125</v>
      </c>
      <c r="I4" s="242"/>
      <c r="L4" s="422">
        <v>2</v>
      </c>
      <c r="M4" s="422" t="str">
        <f t="shared" ref="M4:M5" si="0">LEFT(N4,5)</f>
        <v>$3.85</v>
      </c>
      <c r="N4" s="422" t="s">
        <v>827</v>
      </c>
      <c r="O4" s="423">
        <v>8.42</v>
      </c>
    </row>
    <row r="5" spans="1:15" ht="14.55" thickBot="1" x14ac:dyDescent="0.35">
      <c r="A5" s="311">
        <v>12.77</v>
      </c>
      <c r="B5" s="312">
        <v>17.64</v>
      </c>
      <c r="C5" s="313">
        <f>ROUND(B5*365/12,0)</f>
        <v>537</v>
      </c>
      <c r="D5" s="362">
        <v>4</v>
      </c>
      <c r="E5" s="216"/>
      <c r="F5" s="268" t="s">
        <v>118</v>
      </c>
      <c r="G5" s="269">
        <v>2442</v>
      </c>
      <c r="H5" s="270" t="s">
        <v>125</v>
      </c>
      <c r="I5" s="242"/>
      <c r="L5" s="422">
        <v>3</v>
      </c>
      <c r="M5" s="422" t="str">
        <f t="shared" si="0"/>
        <v>$8.31</v>
      </c>
      <c r="N5" s="422" t="s">
        <v>828</v>
      </c>
      <c r="O5" s="423">
        <v>12.72</v>
      </c>
    </row>
    <row r="6" spans="1:15" ht="16.149999999999999" thickTop="1" x14ac:dyDescent="0.3">
      <c r="A6" s="311">
        <v>17.23</v>
      </c>
      <c r="B6" s="312">
        <v>22.14</v>
      </c>
      <c r="C6" s="313">
        <f t="shared" ref="C6:C33" si="1">ROUND(B6*365/12,0)</f>
        <v>673</v>
      </c>
      <c r="D6" s="362">
        <v>5</v>
      </c>
      <c r="E6" s="216"/>
      <c r="F6" s="244"/>
      <c r="G6" s="245"/>
      <c r="H6" s="216"/>
      <c r="L6" s="422">
        <v>4</v>
      </c>
      <c r="M6" s="422" t="str">
        <f>LEFT(N6,6)</f>
        <v>$12.77</v>
      </c>
      <c r="N6" s="422" t="s">
        <v>829</v>
      </c>
      <c r="O6" s="423">
        <v>17.64</v>
      </c>
    </row>
    <row r="7" spans="1:15" ht="16.149999999999999" thickBot="1" x14ac:dyDescent="0.35">
      <c r="A7" s="311">
        <v>21.69</v>
      </c>
      <c r="B7" s="312">
        <v>27.12</v>
      </c>
      <c r="C7" s="313">
        <f t="shared" si="1"/>
        <v>825</v>
      </c>
      <c r="D7" s="362">
        <v>6</v>
      </c>
      <c r="E7" s="216"/>
      <c r="F7" s="244"/>
      <c r="G7" s="245"/>
      <c r="H7" s="216"/>
      <c r="L7" s="422">
        <v>5</v>
      </c>
      <c r="M7" s="422" t="str">
        <f t="shared" ref="M7:M25" si="2">LEFT(N7,6)</f>
        <v>$17.23</v>
      </c>
      <c r="N7" s="422" t="s">
        <v>830</v>
      </c>
      <c r="O7" s="423">
        <v>22.14</v>
      </c>
    </row>
    <row r="8" spans="1:15" ht="14.55" thickBot="1" x14ac:dyDescent="0.35">
      <c r="A8" s="311">
        <v>26.16</v>
      </c>
      <c r="B8" s="312">
        <v>31.92</v>
      </c>
      <c r="C8" s="313">
        <f t="shared" si="1"/>
        <v>971</v>
      </c>
      <c r="D8" s="362">
        <v>7</v>
      </c>
      <c r="E8" s="216"/>
      <c r="F8" s="714" t="s">
        <v>782</v>
      </c>
      <c r="G8" s="715"/>
      <c r="H8" s="716"/>
      <c r="L8" s="422">
        <v>6</v>
      </c>
      <c r="M8" s="422" t="str">
        <f t="shared" si="2"/>
        <v>$21.69</v>
      </c>
      <c r="N8" s="422" t="s">
        <v>831</v>
      </c>
      <c r="O8" s="423">
        <v>27.12</v>
      </c>
    </row>
    <row r="9" spans="1:15" ht="14.55" thickBot="1" x14ac:dyDescent="0.35">
      <c r="A9" s="311">
        <v>30.61</v>
      </c>
      <c r="B9" s="312">
        <v>36.54</v>
      </c>
      <c r="C9" s="313">
        <f t="shared" si="1"/>
        <v>1111</v>
      </c>
      <c r="D9" s="362">
        <v>8</v>
      </c>
      <c r="E9" s="216"/>
      <c r="F9" s="391" t="s">
        <v>617</v>
      </c>
      <c r="G9" s="392">
        <v>2908</v>
      </c>
      <c r="H9" s="393" t="s">
        <v>125</v>
      </c>
      <c r="L9" s="422">
        <v>7</v>
      </c>
      <c r="M9" s="422" t="str">
        <f t="shared" si="2"/>
        <v>$26.16</v>
      </c>
      <c r="N9" s="422" t="s">
        <v>832</v>
      </c>
      <c r="O9" s="423">
        <v>31.92</v>
      </c>
    </row>
    <row r="10" spans="1:15" ht="15.6" x14ac:dyDescent="0.3">
      <c r="A10" s="311">
        <v>35.08</v>
      </c>
      <c r="B10" s="312">
        <v>41.28</v>
      </c>
      <c r="C10" s="313">
        <f t="shared" si="1"/>
        <v>1256</v>
      </c>
      <c r="D10" s="362">
        <v>9</v>
      </c>
      <c r="E10" s="216"/>
      <c r="F10" s="246"/>
      <c r="G10" s="245"/>
      <c r="H10" s="216"/>
      <c r="L10" s="422">
        <v>8</v>
      </c>
      <c r="M10" s="422" t="str">
        <f t="shared" si="2"/>
        <v>$30.61</v>
      </c>
      <c r="N10" s="422" t="s">
        <v>833</v>
      </c>
      <c r="O10" s="423">
        <v>36.54</v>
      </c>
    </row>
    <row r="11" spans="1:15" ht="15.6" x14ac:dyDescent="0.3">
      <c r="A11" s="311">
        <v>39.53</v>
      </c>
      <c r="B11" s="312">
        <v>45.98</v>
      </c>
      <c r="C11" s="313">
        <f t="shared" si="1"/>
        <v>1399</v>
      </c>
      <c r="D11" s="362">
        <v>10</v>
      </c>
      <c r="E11" s="216"/>
      <c r="F11" s="246"/>
      <c r="G11" s="245"/>
      <c r="H11" s="216"/>
      <c r="L11" s="422">
        <v>9</v>
      </c>
      <c r="M11" s="422" t="str">
        <f t="shared" si="2"/>
        <v>$35.08</v>
      </c>
      <c r="N11" s="422" t="s">
        <v>834</v>
      </c>
      <c r="O11" s="423">
        <v>41.28</v>
      </c>
    </row>
    <row r="12" spans="1:15" ht="15.6" x14ac:dyDescent="0.3">
      <c r="A12" s="311">
        <v>43.99</v>
      </c>
      <c r="B12" s="312">
        <v>51.07</v>
      </c>
      <c r="C12" s="313">
        <f t="shared" si="1"/>
        <v>1553</v>
      </c>
      <c r="D12" s="362">
        <v>11</v>
      </c>
      <c r="E12" s="216"/>
      <c r="F12" s="246"/>
      <c r="G12" s="245"/>
      <c r="H12" s="216"/>
      <c r="L12" s="422">
        <v>10</v>
      </c>
      <c r="M12" s="422" t="str">
        <f t="shared" si="2"/>
        <v>$39.53</v>
      </c>
      <c r="N12" s="422" t="s">
        <v>835</v>
      </c>
      <c r="O12" s="423">
        <v>45.98</v>
      </c>
    </row>
    <row r="13" spans="1:15" ht="15.6" x14ac:dyDescent="0.3">
      <c r="A13" s="311">
        <v>48.45</v>
      </c>
      <c r="B13" s="312">
        <v>56.2</v>
      </c>
      <c r="C13" s="313">
        <f t="shared" si="1"/>
        <v>1709</v>
      </c>
      <c r="D13" s="362">
        <v>12</v>
      </c>
      <c r="E13" s="216"/>
      <c r="F13" s="246"/>
      <c r="G13" s="245"/>
      <c r="H13" s="216"/>
      <c r="L13" s="422">
        <v>11</v>
      </c>
      <c r="M13" s="422" t="str">
        <f t="shared" si="2"/>
        <v>$43.99</v>
      </c>
      <c r="N13" s="422" t="s">
        <v>836</v>
      </c>
      <c r="O13" s="423">
        <v>51.07</v>
      </c>
    </row>
    <row r="14" spans="1:15" ht="15.6" x14ac:dyDescent="0.3">
      <c r="A14" s="311">
        <v>52.91</v>
      </c>
      <c r="B14" s="312">
        <v>60.82</v>
      </c>
      <c r="C14" s="313">
        <f t="shared" si="1"/>
        <v>1850</v>
      </c>
      <c r="D14" s="362">
        <v>13</v>
      </c>
      <c r="E14" s="216"/>
      <c r="F14" s="246"/>
      <c r="G14" s="245"/>
      <c r="H14" s="216"/>
      <c r="L14" s="422">
        <v>12</v>
      </c>
      <c r="M14" s="422" t="str">
        <f t="shared" si="2"/>
        <v>$48.45</v>
      </c>
      <c r="N14" s="422" t="s">
        <v>837</v>
      </c>
      <c r="O14" s="423">
        <v>56.2</v>
      </c>
    </row>
    <row r="15" spans="1:15" ht="15.6" x14ac:dyDescent="0.3">
      <c r="A15" s="311">
        <v>57.37</v>
      </c>
      <c r="B15" s="312">
        <v>65.69</v>
      </c>
      <c r="C15" s="313">
        <f t="shared" si="1"/>
        <v>1998</v>
      </c>
      <c r="D15" s="362">
        <v>14</v>
      </c>
      <c r="E15" s="216"/>
      <c r="F15" s="246"/>
      <c r="G15" s="245"/>
      <c r="H15" s="216"/>
      <c r="L15" s="422">
        <v>13</v>
      </c>
      <c r="M15" s="422" t="str">
        <f t="shared" si="2"/>
        <v>$52.91</v>
      </c>
      <c r="N15" s="422" t="s">
        <v>838</v>
      </c>
      <c r="O15" s="423">
        <v>60.82</v>
      </c>
    </row>
    <row r="16" spans="1:15" ht="15.6" x14ac:dyDescent="0.3">
      <c r="A16" s="311">
        <v>61.83</v>
      </c>
      <c r="B16" s="312">
        <v>69.040000000000006</v>
      </c>
      <c r="C16" s="313">
        <f t="shared" si="1"/>
        <v>2100</v>
      </c>
      <c r="D16" s="362">
        <v>15</v>
      </c>
      <c r="E16" s="216"/>
      <c r="F16" s="246"/>
      <c r="G16" s="245"/>
      <c r="H16" s="216"/>
      <c r="L16" s="422">
        <v>14</v>
      </c>
      <c r="M16" s="422" t="str">
        <f t="shared" si="2"/>
        <v>$57.37</v>
      </c>
      <c r="N16" s="422" t="s">
        <v>839</v>
      </c>
      <c r="O16" s="423">
        <v>65.69</v>
      </c>
    </row>
    <row r="17" spans="1:15" ht="15.6" x14ac:dyDescent="0.3">
      <c r="A17" s="311">
        <v>66.290000000000006</v>
      </c>
      <c r="B17" s="312">
        <v>75.02</v>
      </c>
      <c r="C17" s="313">
        <f t="shared" si="1"/>
        <v>2282</v>
      </c>
      <c r="D17" s="362">
        <v>16</v>
      </c>
      <c r="E17" s="216"/>
      <c r="F17" s="246"/>
      <c r="G17" s="245"/>
      <c r="H17" s="216"/>
      <c r="L17" s="422">
        <v>15</v>
      </c>
      <c r="M17" s="422" t="str">
        <f t="shared" si="2"/>
        <v>$61.83</v>
      </c>
      <c r="N17" s="422" t="s">
        <v>840</v>
      </c>
      <c r="O17" s="423">
        <v>69.040000000000006</v>
      </c>
    </row>
    <row r="18" spans="1:15" ht="15.6" x14ac:dyDescent="0.3">
      <c r="A18" s="311">
        <v>70.75</v>
      </c>
      <c r="B18" s="312">
        <v>80.27</v>
      </c>
      <c r="C18" s="313">
        <f t="shared" si="1"/>
        <v>2442</v>
      </c>
      <c r="D18" s="362">
        <v>17</v>
      </c>
      <c r="E18" s="216"/>
      <c r="G18" s="245"/>
      <c r="H18" s="216"/>
      <c r="J18" s="246"/>
      <c r="L18" s="422">
        <v>16</v>
      </c>
      <c r="M18" s="422" t="str">
        <f t="shared" si="2"/>
        <v>$66.29</v>
      </c>
      <c r="N18" s="422" t="s">
        <v>841</v>
      </c>
      <c r="O18" s="423">
        <v>75.02</v>
      </c>
    </row>
    <row r="19" spans="1:15" ht="15.6" x14ac:dyDescent="0.3">
      <c r="A19" s="311">
        <v>75.209999999999994</v>
      </c>
      <c r="B19" s="312">
        <v>84.99</v>
      </c>
      <c r="C19" s="313">
        <f t="shared" si="1"/>
        <v>2585</v>
      </c>
      <c r="D19" s="362">
        <v>18</v>
      </c>
      <c r="E19" s="216"/>
      <c r="G19" s="245"/>
      <c r="H19" s="216"/>
      <c r="J19" s="366" t="s">
        <v>772</v>
      </c>
      <c r="L19" s="422">
        <v>17</v>
      </c>
      <c r="M19" s="422" t="str">
        <f t="shared" si="2"/>
        <v>$70.75</v>
      </c>
      <c r="N19" s="422" t="s">
        <v>842</v>
      </c>
      <c r="O19" s="423">
        <v>80.27</v>
      </c>
    </row>
    <row r="20" spans="1:15" ht="15.6" x14ac:dyDescent="0.3">
      <c r="A20" s="311">
        <v>79.67</v>
      </c>
      <c r="B20" s="312">
        <v>90.38</v>
      </c>
      <c r="C20" s="313">
        <f t="shared" si="1"/>
        <v>2749</v>
      </c>
      <c r="D20" s="362">
        <v>19</v>
      </c>
      <c r="E20" s="216"/>
      <c r="G20" s="245"/>
      <c r="H20" s="216"/>
      <c r="J20" s="366" t="s">
        <v>773</v>
      </c>
      <c r="L20" s="422">
        <v>18</v>
      </c>
      <c r="M20" s="422" t="str">
        <f t="shared" si="2"/>
        <v>$75.21</v>
      </c>
      <c r="N20" s="422" t="s">
        <v>843</v>
      </c>
      <c r="O20" s="423">
        <v>84.99</v>
      </c>
    </row>
    <row r="21" spans="1:15" ht="15.6" x14ac:dyDescent="0.3">
      <c r="A21" s="311">
        <v>84.13</v>
      </c>
      <c r="B21" s="312">
        <v>95.61</v>
      </c>
      <c r="C21" s="313">
        <f t="shared" si="1"/>
        <v>2908</v>
      </c>
      <c r="D21" s="362">
        <v>20</v>
      </c>
      <c r="E21" s="216"/>
      <c r="F21" s="246"/>
      <c r="G21" s="245"/>
      <c r="H21" s="216"/>
      <c r="L21" s="422">
        <v>19</v>
      </c>
      <c r="M21" s="422" t="str">
        <f t="shared" si="2"/>
        <v>$79.67</v>
      </c>
      <c r="N21" s="422" t="s">
        <v>844</v>
      </c>
      <c r="O21" s="423">
        <v>90.38</v>
      </c>
    </row>
    <row r="22" spans="1:15" ht="15.6" x14ac:dyDescent="0.3">
      <c r="A22" s="311">
        <v>88.59</v>
      </c>
      <c r="B22" s="312">
        <v>100.89</v>
      </c>
      <c r="C22" s="313">
        <f t="shared" si="1"/>
        <v>3069</v>
      </c>
      <c r="D22" s="362">
        <v>21</v>
      </c>
      <c r="E22" s="216"/>
      <c r="F22" s="246"/>
      <c r="G22" s="245"/>
      <c r="H22" s="216"/>
      <c r="L22" s="422">
        <v>20</v>
      </c>
      <c r="M22" s="422" t="str">
        <f t="shared" si="2"/>
        <v>$84.13</v>
      </c>
      <c r="N22" s="422" t="s">
        <v>845</v>
      </c>
      <c r="O22" s="423">
        <v>95.61</v>
      </c>
    </row>
    <row r="23" spans="1:15" ht="15.6" x14ac:dyDescent="0.3">
      <c r="A23" s="311">
        <v>94.16</v>
      </c>
      <c r="B23" s="312">
        <v>106.1</v>
      </c>
      <c r="C23" s="313">
        <f t="shared" si="1"/>
        <v>3227</v>
      </c>
      <c r="D23" s="362">
        <v>22</v>
      </c>
      <c r="E23" s="216"/>
      <c r="F23" s="246"/>
      <c r="G23" s="245"/>
      <c r="H23" s="216"/>
      <c r="L23" s="422">
        <v>21</v>
      </c>
      <c r="M23" s="422" t="str">
        <f t="shared" si="2"/>
        <v>$88.59</v>
      </c>
      <c r="N23" s="422" t="s">
        <v>846</v>
      </c>
      <c r="O23" s="423">
        <v>100.89</v>
      </c>
    </row>
    <row r="24" spans="1:15" ht="15.6" x14ac:dyDescent="0.3">
      <c r="A24" s="311">
        <v>99.74</v>
      </c>
      <c r="B24" s="312">
        <v>109.75</v>
      </c>
      <c r="C24" s="313">
        <f t="shared" si="1"/>
        <v>3338</v>
      </c>
      <c r="D24" s="362">
        <v>23</v>
      </c>
      <c r="E24" s="216"/>
      <c r="F24" s="246"/>
      <c r="G24" s="245"/>
      <c r="H24" s="216"/>
      <c r="L24" s="422">
        <v>22</v>
      </c>
      <c r="M24" s="422" t="str">
        <f t="shared" si="2"/>
        <v>$94.16</v>
      </c>
      <c r="N24" s="422" t="s">
        <v>847</v>
      </c>
      <c r="O24" s="423">
        <v>106.1</v>
      </c>
    </row>
    <row r="25" spans="1:15" ht="15.6" x14ac:dyDescent="0.3">
      <c r="A25" s="311">
        <v>103.08</v>
      </c>
      <c r="B25" s="312">
        <v>114.69</v>
      </c>
      <c r="C25" s="313">
        <f t="shared" si="1"/>
        <v>3488</v>
      </c>
      <c r="D25" s="362">
        <v>24</v>
      </c>
      <c r="E25" s="216"/>
      <c r="F25" s="246"/>
      <c r="G25" s="245"/>
      <c r="H25" s="216"/>
      <c r="L25" s="422">
        <v>23</v>
      </c>
      <c r="M25" s="422" t="str">
        <f t="shared" si="2"/>
        <v>$99.74</v>
      </c>
      <c r="N25" s="422" t="s">
        <v>848</v>
      </c>
      <c r="O25" s="423">
        <v>109.75</v>
      </c>
    </row>
    <row r="26" spans="1:15" ht="15.6" x14ac:dyDescent="0.3">
      <c r="A26" s="311">
        <v>107.54</v>
      </c>
      <c r="B26" s="312">
        <v>119.79</v>
      </c>
      <c r="C26" s="313">
        <f t="shared" si="1"/>
        <v>3644</v>
      </c>
      <c r="D26" s="362">
        <v>25</v>
      </c>
      <c r="E26" s="216"/>
      <c r="F26" s="246"/>
      <c r="G26" s="245"/>
      <c r="H26" s="216"/>
      <c r="L26" s="422">
        <v>24</v>
      </c>
      <c r="M26" s="422" t="str">
        <f>LEFT(N26,7)</f>
        <v>$103.08</v>
      </c>
      <c r="N26" s="422" t="s">
        <v>849</v>
      </c>
      <c r="O26" s="423">
        <v>114.69</v>
      </c>
    </row>
    <row r="27" spans="1:15" ht="15.6" x14ac:dyDescent="0.3">
      <c r="A27" s="311">
        <v>112</v>
      </c>
      <c r="B27" s="312">
        <v>124.74</v>
      </c>
      <c r="C27" s="313">
        <f t="shared" si="1"/>
        <v>3794</v>
      </c>
      <c r="D27" s="362">
        <v>26</v>
      </c>
      <c r="E27" s="216"/>
      <c r="F27" s="246"/>
      <c r="G27" s="245"/>
      <c r="H27" s="216"/>
      <c r="L27" s="422">
        <v>25</v>
      </c>
      <c r="M27" s="422" t="str">
        <f t="shared" ref="M27:M35" si="3">LEFT(N27,7)</f>
        <v>$107.54</v>
      </c>
      <c r="N27" s="422" t="s">
        <v>850</v>
      </c>
      <c r="O27" s="423">
        <v>119.79</v>
      </c>
    </row>
    <row r="28" spans="1:15" ht="15.6" x14ac:dyDescent="0.3">
      <c r="A28" s="311">
        <v>116.46</v>
      </c>
      <c r="B28" s="312">
        <v>129.68</v>
      </c>
      <c r="C28" s="313">
        <f t="shared" si="1"/>
        <v>3944</v>
      </c>
      <c r="D28" s="362">
        <v>27</v>
      </c>
      <c r="E28" s="216"/>
      <c r="F28" s="246"/>
      <c r="G28" s="245"/>
      <c r="H28" s="216"/>
      <c r="L28" s="422">
        <v>26</v>
      </c>
      <c r="M28" s="422" t="str">
        <f t="shared" si="3"/>
        <v>$112.00</v>
      </c>
      <c r="N28" s="422" t="s">
        <v>851</v>
      </c>
      <c r="O28" s="423">
        <v>124.74</v>
      </c>
    </row>
    <row r="29" spans="1:15" ht="15.6" x14ac:dyDescent="0.3">
      <c r="A29" s="311">
        <v>120.92</v>
      </c>
      <c r="B29" s="312">
        <v>134.63999999999999</v>
      </c>
      <c r="C29" s="313">
        <f t="shared" si="1"/>
        <v>4095</v>
      </c>
      <c r="D29" s="362">
        <v>28</v>
      </c>
      <c r="E29" s="216"/>
      <c r="F29" s="246"/>
      <c r="G29" s="245"/>
      <c r="H29" s="216"/>
      <c r="L29" s="422">
        <v>27</v>
      </c>
      <c r="M29" s="422" t="str">
        <f t="shared" si="3"/>
        <v>$116.46</v>
      </c>
      <c r="N29" s="422" t="s">
        <v>852</v>
      </c>
      <c r="O29" s="423">
        <v>129.68</v>
      </c>
    </row>
    <row r="30" spans="1:15" ht="15.6" x14ac:dyDescent="0.3">
      <c r="A30" s="311">
        <v>125.38</v>
      </c>
      <c r="B30" s="312">
        <v>139.59</v>
      </c>
      <c r="C30" s="313">
        <f t="shared" si="1"/>
        <v>4246</v>
      </c>
      <c r="D30" s="362">
        <v>29</v>
      </c>
      <c r="E30" s="216"/>
      <c r="F30" s="246"/>
      <c r="G30" s="245"/>
      <c r="H30" s="216"/>
      <c r="L30" s="422">
        <v>28</v>
      </c>
      <c r="M30" s="422" t="str">
        <f t="shared" si="3"/>
        <v>$120.92</v>
      </c>
      <c r="N30" s="422" t="s">
        <v>853</v>
      </c>
      <c r="O30" s="423">
        <v>134.63999999999999</v>
      </c>
    </row>
    <row r="31" spans="1:15" ht="15.6" x14ac:dyDescent="0.3">
      <c r="A31" s="311">
        <v>129.84</v>
      </c>
      <c r="B31" s="312">
        <v>144.54</v>
      </c>
      <c r="C31" s="313">
        <f t="shared" si="1"/>
        <v>4396</v>
      </c>
      <c r="D31" s="362">
        <v>30</v>
      </c>
      <c r="E31" s="216"/>
      <c r="F31" s="246"/>
      <c r="G31" s="245"/>
      <c r="H31" s="216"/>
      <c r="L31" s="422">
        <v>29</v>
      </c>
      <c r="M31" s="422" t="str">
        <f t="shared" si="3"/>
        <v>$125.38</v>
      </c>
      <c r="N31" s="422" t="s">
        <v>854</v>
      </c>
      <c r="O31" s="423">
        <v>139.59</v>
      </c>
    </row>
    <row r="32" spans="1:15" x14ac:dyDescent="0.3">
      <c r="A32" s="311">
        <v>134.30000000000001</v>
      </c>
      <c r="B32" s="312">
        <v>149.49</v>
      </c>
      <c r="C32" s="313">
        <f t="shared" si="1"/>
        <v>4547</v>
      </c>
      <c r="D32" s="362">
        <v>31</v>
      </c>
      <c r="E32" s="216"/>
      <c r="F32" s="246"/>
      <c r="G32" s="216"/>
      <c r="H32" s="216"/>
      <c r="L32" s="422">
        <v>30</v>
      </c>
      <c r="M32" s="422" t="str">
        <f t="shared" si="3"/>
        <v>$129.84</v>
      </c>
      <c r="N32" s="422" t="s">
        <v>855</v>
      </c>
      <c r="O32" s="423">
        <v>144.54</v>
      </c>
    </row>
    <row r="33" spans="1:15" x14ac:dyDescent="0.3">
      <c r="A33" s="311">
        <v>138.76</v>
      </c>
      <c r="B33" s="312">
        <v>154.44999999999999</v>
      </c>
      <c r="C33" s="313">
        <f t="shared" si="1"/>
        <v>4698</v>
      </c>
      <c r="D33" s="362">
        <v>32</v>
      </c>
      <c r="E33" s="216"/>
      <c r="F33" s="216"/>
      <c r="G33" s="216"/>
      <c r="H33" s="216"/>
      <c r="L33" s="422">
        <v>31</v>
      </c>
      <c r="M33" s="422" t="str">
        <f t="shared" si="3"/>
        <v>$134.30</v>
      </c>
      <c r="N33" s="422" t="s">
        <v>856</v>
      </c>
      <c r="O33" s="423">
        <v>149.49</v>
      </c>
    </row>
    <row r="34" spans="1:15" ht="15.05" customHeight="1" x14ac:dyDescent="0.3">
      <c r="A34" s="314">
        <v>143.22</v>
      </c>
      <c r="B34" s="315">
        <v>160.1</v>
      </c>
      <c r="C34" s="316">
        <f t="shared" ref="C34" si="4">ROUND(B34*365/12,0)</f>
        <v>4870</v>
      </c>
      <c r="D34" s="363">
        <v>33</v>
      </c>
      <c r="E34" s="216"/>
      <c r="F34" s="216"/>
      <c r="G34" s="216"/>
      <c r="H34" s="216"/>
      <c r="L34" s="422">
        <v>32</v>
      </c>
      <c r="M34" s="422" t="str">
        <f t="shared" si="3"/>
        <v>$138.76</v>
      </c>
      <c r="N34" s="422" t="s">
        <v>857</v>
      </c>
      <c r="O34" s="423">
        <v>154.44999999999999</v>
      </c>
    </row>
    <row r="35" spans="1:15" x14ac:dyDescent="0.3">
      <c r="A35" s="307"/>
      <c r="B35" s="216"/>
      <c r="C35" s="216"/>
      <c r="D35" s="358"/>
      <c r="E35" s="216"/>
      <c r="F35" s="216"/>
      <c r="G35" s="216"/>
      <c r="H35" s="216"/>
      <c r="L35" s="422">
        <v>33</v>
      </c>
      <c r="M35" s="422" t="str">
        <f t="shared" si="3"/>
        <v>$143.22</v>
      </c>
      <c r="N35" s="422" t="s">
        <v>858</v>
      </c>
      <c r="O35" s="423">
        <v>160.1</v>
      </c>
    </row>
    <row r="36" spans="1:15" hidden="1" x14ac:dyDescent="0.3">
      <c r="A36" s="712" t="s">
        <v>769</v>
      </c>
      <c r="B36" s="713"/>
      <c r="C36" s="713"/>
      <c r="D36" s="359">
        <v>100</v>
      </c>
    </row>
  </sheetData>
  <sheetProtection algorithmName="SHA-512" hashValue="vyFulmfMFWuPgfRnNNFO3nayENJdL5tFlrIulj52CubnxIKmp7MZUA6+382/sqJ/XgsWSsvPqfwrnDTszhVAUw==" saltValue="PTIkMH2JPnnziMBUu9JahA==" spinCount="100000" sheet="1" objects="1" scenarios="1"/>
  <mergeCells count="3">
    <mergeCell ref="F1:H1"/>
    <mergeCell ref="A36:C36"/>
    <mergeCell ref="F8:H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EG2"/>
  <sheetViews>
    <sheetView workbookViewId="0"/>
  </sheetViews>
  <sheetFormatPr defaultRowHeight="14" x14ac:dyDescent="0.3"/>
  <cols>
    <col min="1" max="1" width="18.09765625" customWidth="1"/>
    <col min="2" max="2" width="10.8984375" customWidth="1"/>
    <col min="4" max="4" width="16" customWidth="1"/>
    <col min="6" max="6" width="18.09765625" customWidth="1"/>
    <col min="7" max="7" width="9.09765625" customWidth="1"/>
    <col min="8" max="8" width="6.8984375" customWidth="1"/>
    <col min="19" max="19" width="7.3984375" customWidth="1"/>
    <col min="21" max="21" width="6.3984375" customWidth="1"/>
    <col min="22" max="22" width="2.8984375" customWidth="1"/>
    <col min="24" max="24" width="5.8984375" customWidth="1"/>
    <col min="25" max="26" width="6.3984375" customWidth="1"/>
    <col min="28" max="28" width="9.3984375" bestFit="1" customWidth="1"/>
    <col min="29" max="29" width="12" bestFit="1" customWidth="1"/>
    <col min="30" max="30" width="12.3984375" customWidth="1"/>
    <col min="31" max="31" width="9.3984375" bestFit="1" customWidth="1"/>
    <col min="32" max="32" width="10.3984375" bestFit="1" customWidth="1"/>
    <col min="33" max="33" width="9.3984375" bestFit="1" customWidth="1"/>
    <col min="34" max="34" width="10" bestFit="1" customWidth="1"/>
    <col min="35" max="36" width="10.8984375" bestFit="1" customWidth="1"/>
    <col min="37" max="37" width="12.8984375" customWidth="1"/>
    <col min="38" max="38" width="11.8984375" bestFit="1" customWidth="1"/>
    <col min="39" max="39" width="10.8984375" bestFit="1" customWidth="1"/>
    <col min="41" max="42" width="9.3984375" bestFit="1" customWidth="1"/>
    <col min="43" max="43" width="10.8984375" customWidth="1"/>
    <col min="44" max="44" width="10.3984375" customWidth="1"/>
    <col min="45" max="45" width="9.3984375" bestFit="1" customWidth="1"/>
    <col min="46" max="46" width="9.3984375" customWidth="1"/>
    <col min="47" max="48" width="9.3984375" bestFit="1" customWidth="1"/>
    <col min="49" max="49" width="10.09765625" bestFit="1" customWidth="1"/>
    <col min="50" max="50" width="13.09765625" customWidth="1"/>
    <col min="51" max="52" width="9.3984375" bestFit="1" customWidth="1"/>
    <col min="53" max="53" width="11.3984375" bestFit="1" customWidth="1"/>
    <col min="54" max="54" width="12.09765625" customWidth="1"/>
    <col min="55" max="56" width="9.3984375" bestFit="1" customWidth="1"/>
    <col min="58" max="112" width="9.3984375" bestFit="1" customWidth="1"/>
    <col min="113" max="116" width="9.59765625" customWidth="1"/>
    <col min="117" max="117" width="11" customWidth="1"/>
    <col min="118" max="118" width="9.3984375" bestFit="1" customWidth="1"/>
    <col min="119" max="119" width="11.3984375" customWidth="1"/>
    <col min="120" max="121" width="9.3984375" bestFit="1" customWidth="1"/>
    <col min="122" max="122" width="11.09765625" customWidth="1"/>
    <col min="123" max="124" width="10.3984375" customWidth="1"/>
    <col min="125" max="128" width="9.3984375" bestFit="1" customWidth="1"/>
    <col min="129" max="129" width="9.69921875" customWidth="1"/>
    <col min="130" max="130" width="9.3984375" customWidth="1"/>
    <col min="131" max="131" width="13.8984375" customWidth="1"/>
    <col min="132" max="134" width="9.3984375" bestFit="1" customWidth="1"/>
    <col min="135" max="135" width="9.3984375" customWidth="1"/>
    <col min="136" max="136" width="9.3984375" bestFit="1" customWidth="1"/>
    <col min="137" max="137" width="9.09765625" customWidth="1"/>
  </cols>
  <sheetData>
    <row r="1" spans="1:137" s="280" customFormat="1" ht="48.1" customHeight="1" x14ac:dyDescent="0.3">
      <c r="A1" s="282" t="s">
        <v>751</v>
      </c>
      <c r="B1" s="282" t="s">
        <v>567</v>
      </c>
      <c r="C1" s="282" t="s">
        <v>568</v>
      </c>
      <c r="D1" s="282" t="s">
        <v>569</v>
      </c>
      <c r="E1" s="282" t="s">
        <v>570</v>
      </c>
      <c r="F1" s="282" t="s">
        <v>571</v>
      </c>
      <c r="G1" s="282" t="s">
        <v>771</v>
      </c>
      <c r="H1" s="282" t="s">
        <v>762</v>
      </c>
      <c r="I1" s="282" t="s">
        <v>763</v>
      </c>
      <c r="J1" s="282" t="s">
        <v>806</v>
      </c>
      <c r="K1" s="282" t="s">
        <v>807</v>
      </c>
      <c r="L1" s="282" t="s">
        <v>808</v>
      </c>
      <c r="M1" s="282" t="s">
        <v>598</v>
      </c>
      <c r="N1" s="282" t="s">
        <v>599</v>
      </c>
      <c r="O1" s="282" t="s">
        <v>481</v>
      </c>
      <c r="P1" s="282" t="s">
        <v>600</v>
      </c>
      <c r="Q1" s="282" t="s">
        <v>601</v>
      </c>
      <c r="R1" s="282" t="s">
        <v>754</v>
      </c>
      <c r="S1" s="282" t="s">
        <v>779</v>
      </c>
      <c r="T1" s="282" t="s">
        <v>123</v>
      </c>
      <c r="U1" s="282" t="s">
        <v>572</v>
      </c>
      <c r="V1" s="282" t="s">
        <v>573</v>
      </c>
      <c r="W1" s="282" t="s">
        <v>574</v>
      </c>
      <c r="X1" s="282" t="s">
        <v>602</v>
      </c>
      <c r="Y1" s="282" t="s">
        <v>575</v>
      </c>
      <c r="Z1" s="282" t="s">
        <v>741</v>
      </c>
      <c r="AA1" s="282" t="s">
        <v>576</v>
      </c>
      <c r="AB1" s="282" t="s">
        <v>577</v>
      </c>
      <c r="AC1" s="282" t="s">
        <v>603</v>
      </c>
      <c r="AD1" s="282" t="s">
        <v>604</v>
      </c>
      <c r="AE1" s="282" t="s">
        <v>605</v>
      </c>
      <c r="AF1" s="282" t="s">
        <v>606</v>
      </c>
      <c r="AG1" s="282" t="s">
        <v>607</v>
      </c>
      <c r="AH1" s="282" t="s">
        <v>578</v>
      </c>
      <c r="AI1" s="282" t="s">
        <v>579</v>
      </c>
      <c r="AJ1" s="282" t="s">
        <v>580</v>
      </c>
      <c r="AK1" s="282" t="s">
        <v>581</v>
      </c>
      <c r="AL1" s="282" t="s">
        <v>582</v>
      </c>
      <c r="AM1" s="282" t="s">
        <v>583</v>
      </c>
      <c r="AN1" s="282" t="s">
        <v>584</v>
      </c>
      <c r="AO1" s="282" t="s">
        <v>585</v>
      </c>
      <c r="AP1" s="282" t="s">
        <v>586</v>
      </c>
      <c r="AQ1" s="282" t="s">
        <v>587</v>
      </c>
      <c r="AR1" s="282" t="s">
        <v>588</v>
      </c>
      <c r="AS1" s="282" t="s">
        <v>589</v>
      </c>
      <c r="AT1" s="282" t="s">
        <v>794</v>
      </c>
      <c r="AU1" s="282" t="s">
        <v>590</v>
      </c>
      <c r="AV1" s="282" t="s">
        <v>631</v>
      </c>
      <c r="AW1" s="282" t="s">
        <v>632</v>
      </c>
      <c r="AX1" s="282" t="s">
        <v>633</v>
      </c>
      <c r="AY1" s="282" t="s">
        <v>634</v>
      </c>
      <c r="AZ1" s="282" t="s">
        <v>635</v>
      </c>
      <c r="BA1" s="282" t="s">
        <v>636</v>
      </c>
      <c r="BB1" s="282" t="s">
        <v>641</v>
      </c>
      <c r="BC1" s="282" t="s">
        <v>637</v>
      </c>
      <c r="BD1" s="282" t="s">
        <v>638</v>
      </c>
      <c r="BE1" s="282" t="s">
        <v>639</v>
      </c>
      <c r="BF1" s="282" t="s">
        <v>640</v>
      </c>
      <c r="BG1" s="282" t="s">
        <v>591</v>
      </c>
      <c r="BH1" s="282" t="s">
        <v>642</v>
      </c>
      <c r="BI1" s="282" t="s">
        <v>643</v>
      </c>
      <c r="BJ1" s="282" t="s">
        <v>644</v>
      </c>
      <c r="BK1" s="282" t="s">
        <v>645</v>
      </c>
      <c r="BL1" s="282" t="s">
        <v>646</v>
      </c>
      <c r="BM1" s="282" t="s">
        <v>592</v>
      </c>
      <c r="BN1" s="282" t="s">
        <v>647</v>
      </c>
      <c r="BO1" s="282" t="s">
        <v>648</v>
      </c>
      <c r="BP1" s="282" t="s">
        <v>649</v>
      </c>
      <c r="BQ1" s="282" t="s">
        <v>650</v>
      </c>
      <c r="BR1" s="282" t="s">
        <v>651</v>
      </c>
      <c r="BS1" s="282" t="s">
        <v>593</v>
      </c>
      <c r="BT1" s="282" t="s">
        <v>652</v>
      </c>
      <c r="BU1" s="282" t="s">
        <v>653</v>
      </c>
      <c r="BV1" s="282" t="s">
        <v>654</v>
      </c>
      <c r="BW1" s="282" t="s">
        <v>655</v>
      </c>
      <c r="BX1" s="282" t="s">
        <v>656</v>
      </c>
      <c r="BY1" s="282" t="s">
        <v>594</v>
      </c>
      <c r="BZ1" s="282" t="s">
        <v>657</v>
      </c>
      <c r="CA1" s="282" t="s">
        <v>658</v>
      </c>
      <c r="CB1" s="282" t="s">
        <v>659</v>
      </c>
      <c r="CC1" s="282" t="s">
        <v>660</v>
      </c>
      <c r="CD1" s="282" t="s">
        <v>661</v>
      </c>
      <c r="CE1" s="282" t="s">
        <v>595</v>
      </c>
      <c r="CF1" s="282" t="s">
        <v>662</v>
      </c>
      <c r="CG1" s="282" t="s">
        <v>663</v>
      </c>
      <c r="CH1" s="282" t="s">
        <v>664</v>
      </c>
      <c r="CI1" s="282" t="s">
        <v>665</v>
      </c>
      <c r="CJ1" s="282" t="s">
        <v>666</v>
      </c>
      <c r="CK1" s="282" t="s">
        <v>596</v>
      </c>
      <c r="CL1" s="282" t="s">
        <v>667</v>
      </c>
      <c r="CM1" s="282" t="s">
        <v>668</v>
      </c>
      <c r="CN1" s="282" t="s">
        <v>669</v>
      </c>
      <c r="CO1" s="282" t="s">
        <v>670</v>
      </c>
      <c r="CP1" s="282" t="s">
        <v>671</v>
      </c>
      <c r="CQ1" s="282" t="s">
        <v>597</v>
      </c>
      <c r="CR1" s="282" t="s">
        <v>672</v>
      </c>
      <c r="CS1" s="282" t="s">
        <v>673</v>
      </c>
      <c r="CT1" s="282" t="s">
        <v>674</v>
      </c>
      <c r="CU1" s="282" t="s">
        <v>675</v>
      </c>
      <c r="CV1" s="282" t="s">
        <v>678</v>
      </c>
      <c r="CW1" s="282" t="s">
        <v>679</v>
      </c>
      <c r="CX1" s="282" t="s">
        <v>680</v>
      </c>
      <c r="CY1" s="282" t="s">
        <v>681</v>
      </c>
      <c r="CZ1" s="282" t="s">
        <v>682</v>
      </c>
      <c r="DA1" s="282" t="s">
        <v>683</v>
      </c>
      <c r="DB1" s="282" t="s">
        <v>684</v>
      </c>
      <c r="DC1" s="282" t="s">
        <v>685</v>
      </c>
      <c r="DD1" s="282" t="s">
        <v>686</v>
      </c>
      <c r="DE1" s="282" t="s">
        <v>687</v>
      </c>
      <c r="DF1" s="282" t="s">
        <v>688</v>
      </c>
      <c r="DG1" s="282" t="s">
        <v>689</v>
      </c>
      <c r="DH1" s="282" t="s">
        <v>690</v>
      </c>
      <c r="DI1" s="282" t="s">
        <v>691</v>
      </c>
      <c r="DJ1" s="282" t="s">
        <v>692</v>
      </c>
      <c r="DK1" s="282" t="s">
        <v>693</v>
      </c>
      <c r="DL1" s="282" t="s">
        <v>694</v>
      </c>
      <c r="DM1" s="282" t="s">
        <v>695</v>
      </c>
      <c r="DN1" s="282" t="s">
        <v>696</v>
      </c>
      <c r="DO1" s="282" t="s">
        <v>697</v>
      </c>
      <c r="DP1" s="282" t="s">
        <v>698</v>
      </c>
      <c r="DQ1" s="282" t="s">
        <v>699</v>
      </c>
      <c r="DR1" s="282" t="s">
        <v>700</v>
      </c>
      <c r="DS1" s="282" t="s">
        <v>701</v>
      </c>
      <c r="DT1" s="282" t="s">
        <v>725</v>
      </c>
      <c r="DU1" s="282" t="s">
        <v>703</v>
      </c>
      <c r="DV1" s="282" t="s">
        <v>702</v>
      </c>
      <c r="DW1" s="282" t="s">
        <v>704</v>
      </c>
      <c r="DX1" s="282" t="s">
        <v>875</v>
      </c>
      <c r="DY1" s="429" t="s">
        <v>876</v>
      </c>
      <c r="DZ1" s="282" t="s">
        <v>796</v>
      </c>
      <c r="EA1" s="282" t="s">
        <v>705</v>
      </c>
      <c r="EB1" s="282" t="s">
        <v>706</v>
      </c>
      <c r="EC1" s="282" t="s">
        <v>707</v>
      </c>
      <c r="ED1" s="282" t="s">
        <v>708</v>
      </c>
      <c r="EE1" s="282" t="s">
        <v>797</v>
      </c>
      <c r="EF1" s="282" t="s">
        <v>709</v>
      </c>
      <c r="EG1" s="283" t="s">
        <v>710</v>
      </c>
    </row>
    <row r="2" spans="1:137" s="281" customFormat="1" x14ac:dyDescent="0.3">
      <c r="A2" s="394" t="str">
        <f>RIGHT(Version, LEN(Version) - 12)</f>
        <v>FY25_v10_02.03</v>
      </c>
      <c r="B2" s="284" t="str">
        <f>IF(ISBLANK(Application!D5), "", Application!D5)</f>
        <v/>
      </c>
      <c r="C2" s="285" t="str">
        <f>IF(ISBLANK(Application!H5), "", Application!H5)</f>
        <v/>
      </c>
      <c r="D2" s="285" t="str">
        <f>IF(ISBLANK(AreaOffice), "", AreaOffice)</f>
        <v/>
      </c>
      <c r="E2" s="285" t="str">
        <f>IF(ISBLANK(ProviderName), "", ProviderName)</f>
        <v/>
      </c>
      <c r="F2" s="285" t="str">
        <f>IF(ISBLANK(Engagement), "", Engagement)</f>
        <v/>
      </c>
      <c r="G2" s="285" t="str">
        <f>MID(F2,7,6)</f>
        <v/>
      </c>
      <c r="H2" s="285">
        <f>ContractType</f>
        <v>1</v>
      </c>
      <c r="I2" s="285" t="str">
        <f>VLOOKUP(ContractType,luContractType,2,FALSE)</f>
        <v>DDS ID</v>
      </c>
      <c r="J2" s="285" t="b">
        <f>ContractType = 2</f>
        <v>0</v>
      </c>
      <c r="K2" s="285" t="b">
        <f>MedicalIntensity</f>
        <v>0</v>
      </c>
      <c r="L2" s="285" t="b">
        <f>BehavioralIntensity</f>
        <v>0</v>
      </c>
      <c r="M2" s="285" t="str">
        <f>IF(ISBLANK(Street), "", Street)</f>
        <v/>
      </c>
      <c r="N2" s="285" t="str">
        <f>IF(ISBLANK(City), "", City)</f>
        <v/>
      </c>
      <c r="O2" s="285" t="str">
        <f>IF(ISBLANK(State), "", State)</f>
        <v/>
      </c>
      <c r="P2" s="294" t="str">
        <f>IF(ISBLANK(ZIP), "", ZIP)</f>
        <v/>
      </c>
      <c r="Q2" s="285" t="str">
        <f>IF(ISBLANK(SiteTypeEntry), "", SiteTypeEntry)</f>
        <v/>
      </c>
      <c r="R2" s="285">
        <f>IFERROR(UnitNumber, "")</f>
        <v>0</v>
      </c>
      <c r="S2" s="285">
        <f>LocationID</f>
        <v>0</v>
      </c>
      <c r="T2" s="285" t="str">
        <f>IF(ISERROR(RegionSelected), "", RegionSelected)</f>
        <v/>
      </c>
      <c r="U2" s="284" t="str">
        <f xml:space="preserve"> IF(ISBLANK(TotalCapacity), "", TotalCapacity)</f>
        <v/>
      </c>
      <c r="V2" s="284" t="str">
        <f xml:space="preserve"> IF(ISBLANK(ALTRCapacity), "", ALTRCapacity)</f>
        <v/>
      </c>
      <c r="W2" s="284" t="str">
        <f>IF(Purchase + Lease + CapitalLease   = 1, IF(Purchase,"Purchase", IF(Lease, "Lease", IF(CapitalLease, "Capital Lease", ""))),"ERROR"    )</f>
        <v>ERROR</v>
      </c>
      <c r="X2" s="365" t="str">
        <f>IF(NewConstruction + ExistingHouse = 1, IF(NewConstruction, "New", "Existing"), "-")</f>
        <v>-</v>
      </c>
      <c r="Y2" s="285" t="str">
        <f>IF(RelatedPartyYes + RelatedPartyNo = 1, IF(RelatedPartyYes, "Yes", "No"), "ERROR")</f>
        <v>ERROR</v>
      </c>
      <c r="Z2" s="285">
        <f>OwnerOfRecord</f>
        <v>0</v>
      </c>
      <c r="AA2" s="285" t="str">
        <f>IF(MoveInPending + MoveInCompleted = 1, IF(MoveInPending, "Pending", "Completed"), "ERROR")</f>
        <v>ERROR</v>
      </c>
      <c r="AB2" s="286" t="str">
        <f>IF(ISBLANK(Purchasedate), "", Purchasedate)</f>
        <v/>
      </c>
      <c r="AC2" s="287" t="str">
        <f>IF(ISBLANK(PurchasePrice), "", PurchasePrice)</f>
        <v/>
      </c>
      <c r="AD2" s="287" t="str">
        <f>IF(ISBLANK(HouseFinanced), "", HouseFinanced)</f>
        <v/>
      </c>
      <c r="AE2" s="288" t="str">
        <f>IF(ISBLANK(HouseIntRate), "", HouseIntRate)</f>
        <v/>
      </c>
      <c r="AF2" s="289" t="str">
        <f>IF(ISBLANK(HouseLoanTerm), "", HouseLoanTerm)</f>
        <v/>
      </c>
      <c r="AG2" s="287" t="str">
        <f>IF(ISBLANK(PILT), "", PILT)</f>
        <v/>
      </c>
      <c r="AH2" s="287">
        <f>IF(ISBLANK(AnnInterestExisting), "", AnnInterestExisting)</f>
        <v>0</v>
      </c>
      <c r="AI2" s="287" t="str">
        <f>IF(ISBLANK(LandCost), "", LandCost)</f>
        <v/>
      </c>
      <c r="AJ2" s="287" t="str">
        <f>IF(ISBLANK(LandFinanced), "", LandFinanced)</f>
        <v/>
      </c>
      <c r="AK2" s="287">
        <f>ConstructionCost</f>
        <v>0</v>
      </c>
      <c r="AL2" s="287" t="str">
        <f>IF(ISBLANK(ConstructionFinanced), "", ConstructionFinanced)</f>
        <v/>
      </c>
      <c r="AM2" s="286" t="str">
        <f>IF(ISBLANK(ConstructionCompletionDate), "", ConstructionCompletionDate)</f>
        <v/>
      </c>
      <c r="AN2" s="288" t="str">
        <f>IF(ISBLANK(COnstructionInterestRate), "", COnstructionInterestRate)</f>
        <v/>
      </c>
      <c r="AO2" s="290">
        <f>ConstructionTermOfLoan</f>
        <v>0</v>
      </c>
      <c r="AP2" s="288">
        <f>COnstructionInterestRate</f>
        <v>0</v>
      </c>
      <c r="AQ2" s="287">
        <f>LeaseAmount</f>
        <v>0</v>
      </c>
      <c r="AR2" s="287">
        <f>AnnLeaseAmt</f>
        <v>0</v>
      </c>
      <c r="AS2" s="286">
        <f>SiteApprovalDate</f>
        <v>44378</v>
      </c>
      <c r="AT2" s="286" t="b">
        <f>ReplacesSite</f>
        <v>0</v>
      </c>
      <c r="AU2" s="285" t="b">
        <f>CEDACAPPLIED</f>
        <v>0</v>
      </c>
      <c r="AV2" s="286">
        <f>CEDACAppDate</f>
        <v>45748</v>
      </c>
      <c r="AW2" s="287">
        <f>Application!K37</f>
        <v>0</v>
      </c>
      <c r="AX2" s="287">
        <f>Application!K38</f>
        <v>0</v>
      </c>
      <c r="AY2" s="287">
        <f>Application!K39</f>
        <v>0</v>
      </c>
      <c r="AZ2" s="291" t="str">
        <f>Application!H42</f>
        <v/>
      </c>
      <c r="BA2" s="292">
        <f>Application!J42</f>
        <v>0</v>
      </c>
      <c r="BB2" s="292">
        <f ca="1">Application!K42</f>
        <v>0</v>
      </c>
      <c r="BC2" s="285">
        <f>Application!L42</f>
        <v>27.5</v>
      </c>
      <c r="BD2" s="293">
        <f ca="1">Application!M42</f>
        <v>0</v>
      </c>
      <c r="BE2" s="294">
        <f>Application!$C43</f>
        <v>0</v>
      </c>
      <c r="BF2" s="291">
        <f>Application!$H43</f>
        <v>0</v>
      </c>
      <c r="BG2" s="293">
        <f>Application!$J43</f>
        <v>0</v>
      </c>
      <c r="BH2" s="293">
        <f>Application!$K43</f>
        <v>0</v>
      </c>
      <c r="BI2" s="285">
        <f>Application!$L43</f>
        <v>0</v>
      </c>
      <c r="BJ2" s="293">
        <f>Application!$M43</f>
        <v>0</v>
      </c>
      <c r="BK2" s="294">
        <f>Application!$C44</f>
        <v>0</v>
      </c>
      <c r="BL2" s="291">
        <f>Application!$H44</f>
        <v>0</v>
      </c>
      <c r="BM2" s="293">
        <f>Application!$J44</f>
        <v>0</v>
      </c>
      <c r="BN2" s="293">
        <f>Application!$K44</f>
        <v>0</v>
      </c>
      <c r="BO2" s="285">
        <f>Application!$L44</f>
        <v>0</v>
      </c>
      <c r="BP2" s="293">
        <f>Application!$M44</f>
        <v>0</v>
      </c>
      <c r="BQ2" s="294">
        <f>Application!$C45</f>
        <v>0</v>
      </c>
      <c r="BR2" s="291">
        <f>Application!$H45</f>
        <v>0</v>
      </c>
      <c r="BS2" s="293">
        <f>Application!$J45</f>
        <v>0</v>
      </c>
      <c r="BT2" s="293">
        <f>Application!$K45</f>
        <v>0</v>
      </c>
      <c r="BU2" s="285">
        <f>Application!$L45</f>
        <v>0</v>
      </c>
      <c r="BV2" s="293">
        <f>Application!$M45</f>
        <v>0</v>
      </c>
      <c r="BW2" s="294">
        <f>Application!$C46</f>
        <v>0</v>
      </c>
      <c r="BX2" s="291">
        <f>Application!$H46</f>
        <v>0</v>
      </c>
      <c r="BY2" s="293">
        <f>Application!$J46</f>
        <v>0</v>
      </c>
      <c r="BZ2" s="293">
        <f>Application!$K46</f>
        <v>0</v>
      </c>
      <c r="CA2" s="285">
        <f>Application!$L46</f>
        <v>0</v>
      </c>
      <c r="CB2" s="293">
        <f>Application!$M46</f>
        <v>0</v>
      </c>
      <c r="CC2" s="294">
        <f>Application!$C47</f>
        <v>0</v>
      </c>
      <c r="CD2" s="291">
        <f>Application!$H47</f>
        <v>0</v>
      </c>
      <c r="CE2" s="293">
        <f>Application!$J47</f>
        <v>0</v>
      </c>
      <c r="CF2" s="293">
        <f>Application!$K47</f>
        <v>0</v>
      </c>
      <c r="CG2" s="285">
        <f>Application!$L47</f>
        <v>0</v>
      </c>
      <c r="CH2" s="293">
        <f>Application!$M47</f>
        <v>0</v>
      </c>
      <c r="CI2" s="294">
        <f>Application!$C48</f>
        <v>0</v>
      </c>
      <c r="CJ2" s="291">
        <f>Application!$H48</f>
        <v>0</v>
      </c>
      <c r="CK2" s="293">
        <f>Application!$J48</f>
        <v>0</v>
      </c>
      <c r="CL2" s="293">
        <f>Application!$K48</f>
        <v>0</v>
      </c>
      <c r="CM2" s="285">
        <f>Application!$L48</f>
        <v>0</v>
      </c>
      <c r="CN2" s="293">
        <f>Application!$M48</f>
        <v>0</v>
      </c>
      <c r="CO2" s="294">
        <f>Application!$C49</f>
        <v>0</v>
      </c>
      <c r="CP2" s="291">
        <f>Application!$H49</f>
        <v>0</v>
      </c>
      <c r="CQ2" s="293">
        <f>Application!$J49</f>
        <v>0</v>
      </c>
      <c r="CR2" s="293">
        <f>Application!$K49</f>
        <v>0</v>
      </c>
      <c r="CS2" s="285">
        <f>Application!$L49</f>
        <v>0</v>
      </c>
      <c r="CT2" s="293">
        <f>Application!$M49</f>
        <v>0</v>
      </c>
      <c r="CU2" s="292">
        <f ca="1">Application!M50</f>
        <v>0</v>
      </c>
      <c r="CV2" s="292">
        <f>MortIntPiltRent</f>
        <v>0</v>
      </c>
      <c r="CW2" s="292">
        <f ca="1">Application!$M53</f>
        <v>0</v>
      </c>
      <c r="CX2" s="292">
        <f>Application!$J55</f>
        <v>0</v>
      </c>
      <c r="CY2" s="293">
        <f>Application!$L55</f>
        <v>0</v>
      </c>
      <c r="CZ2" s="292">
        <f>Application!$M55</f>
        <v>0</v>
      </c>
      <c r="DA2" s="292">
        <f>Application!$J56</f>
        <v>0</v>
      </c>
      <c r="DB2" s="293">
        <f>Application!$L56</f>
        <v>0</v>
      </c>
      <c r="DC2" s="292">
        <f>Application!$M56</f>
        <v>0</v>
      </c>
      <c r="DD2" s="292">
        <f>Application!$J57</f>
        <v>0</v>
      </c>
      <c r="DE2" s="293">
        <f>Application!$L57</f>
        <v>0</v>
      </c>
      <c r="DF2" s="292">
        <f>Application!$M57</f>
        <v>0</v>
      </c>
      <c r="DG2" s="292">
        <f>Application!$J58</f>
        <v>0</v>
      </c>
      <c r="DH2" s="293">
        <f>Application!$L58</f>
        <v>0</v>
      </c>
      <c r="DI2" s="292">
        <f>Application!$M58</f>
        <v>0</v>
      </c>
      <c r="DJ2" s="292">
        <f>Application!$J59</f>
        <v>0</v>
      </c>
      <c r="DK2" s="293">
        <f>Application!$L59</f>
        <v>0</v>
      </c>
      <c r="DL2" s="292">
        <f>Application!$M59</f>
        <v>0</v>
      </c>
      <c r="DM2" s="292">
        <f>Application!J60</f>
        <v>0</v>
      </c>
      <c r="DN2" s="293">
        <f>Application!L60</f>
        <v>0</v>
      </c>
      <c r="DO2" s="292">
        <f ca="1">ProjAnnExpenses</f>
        <v>0</v>
      </c>
      <c r="DP2" s="292">
        <f>PerPersonBeforeOfffsets</f>
        <v>0</v>
      </c>
      <c r="DQ2" s="292" t="str">
        <f>ActiveCap</f>
        <v/>
      </c>
      <c r="DR2" s="292">
        <f>Application!M66</f>
        <v>0</v>
      </c>
      <c r="DS2" s="292">
        <f>ExceptionRate</f>
        <v>0</v>
      </c>
      <c r="DT2" s="292" t="str">
        <f>LEFT(TRIM(Notes),255)</f>
        <v/>
      </c>
      <c r="DU2" s="294">
        <f>Application!D73</f>
        <v>0</v>
      </c>
      <c r="DV2" s="294">
        <f>Application!J73</f>
        <v>0</v>
      </c>
      <c r="DW2" s="286">
        <f>Application!$M73</f>
        <v>0</v>
      </c>
      <c r="DX2" s="294" t="str">
        <f>RateApprovalType</f>
        <v>Final</v>
      </c>
      <c r="DY2" s="286">
        <f>ProvRateApprovalDateExp</f>
        <v>0</v>
      </c>
      <c r="DZ2" s="285">
        <f>PrepCOSIg</f>
        <v>0</v>
      </c>
      <c r="EA2" s="285" t="str">
        <f>PrepCOTitle</f>
        <v>Residential Housing Expense Analyst</v>
      </c>
      <c r="EB2" s="291">
        <f>PrepCOSIgDate</f>
        <v>0</v>
      </c>
      <c r="EC2" s="293">
        <f>Application!F79</f>
        <v>0</v>
      </c>
      <c r="ED2" s="286">
        <f>Application!L79</f>
        <v>0</v>
      </c>
      <c r="EE2" s="285">
        <f>AgncySIg</f>
        <v>0</v>
      </c>
      <c r="EF2" s="286">
        <f>AgncySigDate</f>
        <v>0</v>
      </c>
      <c r="EG2" s="286">
        <f ca="1">NOW()</f>
        <v>45714.587991319444</v>
      </c>
    </row>
  </sheetData>
  <sheetProtection algorithmName="SHA-512" hashValue="VTSBszle9oA2ndZe0XIRQrawz45U5H3f4yCZWBPc9Fjck1e/K7sGCF4vxZjZI8gXOBsDHWNwILvmUTbMmx+xew==" saltValue="8KM4MSWdUStDaS4cXOX3/w=="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H353"/>
  <sheetViews>
    <sheetView topLeftCell="AK1" zoomScale="85" zoomScaleNormal="85" workbookViewId="0">
      <selection activeCell="AK1" sqref="AK1"/>
    </sheetView>
  </sheetViews>
  <sheetFormatPr defaultColWidth="9.09765625" defaultRowHeight="14" x14ac:dyDescent="0.3"/>
  <cols>
    <col min="1" max="1" width="19.59765625" style="216" hidden="1" customWidth="1"/>
    <col min="2" max="2" width="14.8984375" style="216" hidden="1" customWidth="1"/>
    <col min="3" max="3" width="14.296875" style="448" hidden="1" customWidth="1"/>
    <col min="4" max="6" width="17.3984375" style="216" hidden="1" customWidth="1"/>
    <col min="7" max="7" width="16.8984375" style="235" hidden="1" customWidth="1"/>
    <col min="8" max="8" width="13.3984375" style="216" hidden="1" customWidth="1"/>
    <col min="9" max="9" width="24.3984375" style="216" hidden="1" customWidth="1"/>
    <col min="10" max="10" width="9.09765625" style="216" hidden="1" customWidth="1"/>
    <col min="11" max="11" width="22.09765625" style="216" hidden="1" customWidth="1"/>
    <col min="12" max="12" width="17.09765625" style="216" hidden="1" customWidth="1"/>
    <col min="13" max="13" width="24.3984375" style="216" hidden="1" customWidth="1"/>
    <col min="14" max="14" width="9.09765625" style="216" hidden="1" customWidth="1"/>
    <col min="15" max="15" width="9.09765625" style="450" hidden="1" customWidth="1"/>
    <col min="16" max="16" width="82.3984375" style="216" hidden="1" customWidth="1"/>
    <col min="17" max="17" width="4.59765625" style="216" hidden="1" customWidth="1"/>
    <col min="18" max="27" width="9.09765625" style="216" hidden="1" customWidth="1"/>
    <col min="28" max="28" width="18.09765625" style="216" hidden="1" customWidth="1"/>
    <col min="29" max="34" width="9.09765625" style="216" hidden="1" customWidth="1"/>
    <col min="35" max="36" width="0" style="216" hidden="1" customWidth="1"/>
    <col min="37" max="16384" width="9.09765625" style="216"/>
  </cols>
  <sheetData>
    <row r="1" spans="1:31" ht="18" customHeight="1" thickBot="1" x14ac:dyDescent="0.35">
      <c r="A1" s="717" t="str">
        <f ca="1" xml:space="preserve"> "Rate Caps by Geographic Region, for New Programs or" &amp; Break &amp;  "Current Site Replacement:  101 CMR 420.03(8)" &amp; Break &amp; "(Scroll down for ABI Caps)"</f>
        <v>Rate Caps by Geographic Region, for New Programs or
Current Site Replacement:  101 CMR 420.03(8)
(Scroll down for ABI Caps)</v>
      </c>
      <c r="B1" s="718"/>
      <c r="C1" s="719"/>
      <c r="D1" s="720"/>
      <c r="O1" s="216"/>
    </row>
    <row r="2" spans="1:31" s="224" customFormat="1" ht="51.75" customHeight="1" thickTop="1" x14ac:dyDescent="0.3">
      <c r="A2" s="438" t="s">
        <v>479</v>
      </c>
      <c r="B2" s="439" t="s">
        <v>123</v>
      </c>
      <c r="C2" s="440" t="s">
        <v>723</v>
      </c>
      <c r="D2" s="441" t="s">
        <v>724</v>
      </c>
      <c r="E2" s="442" t="s">
        <v>863</v>
      </c>
      <c r="G2" s="277" t="s">
        <v>720</v>
      </c>
      <c r="H2" s="217"/>
      <c r="I2" s="279" t="str">
        <f ca="1" xml:space="preserve"> "DDS Area  Office /" &amp; Break &amp; "State Agency"</f>
        <v>DDS Area  Office /
State Agency</v>
      </c>
      <c r="K2" s="709" t="s">
        <v>128</v>
      </c>
      <c r="L2" s="710"/>
      <c r="M2" s="711"/>
      <c r="O2" s="443"/>
      <c r="S2" s="444" t="s">
        <v>812</v>
      </c>
      <c r="T2" s="216"/>
      <c r="U2" s="216"/>
      <c r="V2" s="216"/>
      <c r="W2" s="216"/>
      <c r="X2" s="216"/>
      <c r="AB2" s="445" t="s">
        <v>862</v>
      </c>
      <c r="AC2" s="445"/>
      <c r="AD2" s="445"/>
      <c r="AE2" s="445"/>
    </row>
    <row r="3" spans="1:31" x14ac:dyDescent="0.3">
      <c r="A3" s="446" t="s">
        <v>190</v>
      </c>
      <c r="B3" s="447" t="s">
        <v>813</v>
      </c>
      <c r="C3" s="448">
        <v>2100</v>
      </c>
      <c r="D3" s="449">
        <v>2282</v>
      </c>
      <c r="G3" s="271" t="s">
        <v>478</v>
      </c>
      <c r="I3" s="278" t="s">
        <v>786</v>
      </c>
      <c r="K3" s="262" t="s">
        <v>191</v>
      </c>
      <c r="L3" s="263">
        <v>2100</v>
      </c>
      <c r="M3" s="264" t="s">
        <v>125</v>
      </c>
      <c r="S3" s="216" t="s">
        <v>538</v>
      </c>
      <c r="T3" s="216" t="s">
        <v>747</v>
      </c>
      <c r="W3" s="450"/>
      <c r="AB3" s="451" t="s">
        <v>123</v>
      </c>
      <c r="AC3" s="451" t="s">
        <v>820</v>
      </c>
      <c r="AD3" s="451" t="s">
        <v>821</v>
      </c>
      <c r="AE3" s="451" t="s">
        <v>822</v>
      </c>
    </row>
    <row r="4" spans="1:31" x14ac:dyDescent="0.3">
      <c r="A4" s="446" t="s">
        <v>313</v>
      </c>
      <c r="B4" s="447" t="s">
        <v>813</v>
      </c>
      <c r="C4" s="448">
        <v>2100</v>
      </c>
      <c r="D4" s="449">
        <v>2282</v>
      </c>
      <c r="G4" s="272" t="s">
        <v>480</v>
      </c>
      <c r="I4" s="275" t="s">
        <v>552</v>
      </c>
      <c r="K4" s="265" t="s">
        <v>126</v>
      </c>
      <c r="L4" s="266">
        <v>2282</v>
      </c>
      <c r="M4" s="267" t="s">
        <v>125</v>
      </c>
      <c r="S4" s="216" t="s">
        <v>543</v>
      </c>
      <c r="T4" s="216">
        <v>112.84583333333335</v>
      </c>
      <c r="W4" s="450"/>
      <c r="AB4" s="451" t="s">
        <v>191</v>
      </c>
      <c r="AC4" s="451">
        <v>15</v>
      </c>
      <c r="AD4" s="452">
        <v>2100</v>
      </c>
      <c r="AE4" s="451" t="s">
        <v>125</v>
      </c>
    </row>
    <row r="5" spans="1:31" x14ac:dyDescent="0.3">
      <c r="A5" s="446" t="s">
        <v>314</v>
      </c>
      <c r="B5" s="447" t="s">
        <v>813</v>
      </c>
      <c r="C5" s="448">
        <v>2100</v>
      </c>
      <c r="D5" s="449">
        <v>2282</v>
      </c>
      <c r="G5" s="272" t="s">
        <v>519</v>
      </c>
      <c r="I5" s="275" t="s">
        <v>562</v>
      </c>
      <c r="K5" s="265" t="s">
        <v>127</v>
      </c>
      <c r="L5" s="266">
        <v>2282</v>
      </c>
      <c r="M5" s="267" t="s">
        <v>125</v>
      </c>
      <c r="S5" s="216" t="s">
        <v>538</v>
      </c>
      <c r="T5" s="216">
        <v>244.24583333333331</v>
      </c>
      <c r="W5" s="450"/>
      <c r="AB5" s="451" t="s">
        <v>126</v>
      </c>
      <c r="AC5" s="451">
        <v>16</v>
      </c>
      <c r="AD5" s="452">
        <v>2282</v>
      </c>
      <c r="AE5" s="451" t="s">
        <v>125</v>
      </c>
    </row>
    <row r="6" spans="1:31" ht="14.55" thickBot="1" x14ac:dyDescent="0.35">
      <c r="A6" s="446" t="s">
        <v>315</v>
      </c>
      <c r="B6" s="447" t="s">
        <v>813</v>
      </c>
      <c r="C6" s="448">
        <v>2100</v>
      </c>
      <c r="D6" s="449">
        <v>2282</v>
      </c>
      <c r="G6" s="272" t="s">
        <v>525</v>
      </c>
      <c r="I6" s="275" t="s">
        <v>563</v>
      </c>
      <c r="K6" s="268" t="s">
        <v>118</v>
      </c>
      <c r="L6" s="269">
        <v>2442</v>
      </c>
      <c r="M6" s="270" t="s">
        <v>125</v>
      </c>
      <c r="S6" s="216" t="s">
        <v>539</v>
      </c>
      <c r="T6" s="216">
        <v>511.30416666666662</v>
      </c>
      <c r="W6" s="450"/>
      <c r="AB6" s="451" t="s">
        <v>127</v>
      </c>
      <c r="AC6" s="451">
        <v>16</v>
      </c>
      <c r="AD6" s="452">
        <v>2282</v>
      </c>
      <c r="AE6" s="451" t="s">
        <v>125</v>
      </c>
    </row>
    <row r="7" spans="1:31" ht="14.55" thickTop="1" x14ac:dyDescent="0.3">
      <c r="A7" s="446" t="s">
        <v>316</v>
      </c>
      <c r="B7" s="447" t="s">
        <v>813</v>
      </c>
      <c r="C7" s="448">
        <v>2100</v>
      </c>
      <c r="D7" s="449">
        <v>2282</v>
      </c>
      <c r="G7" s="272" t="s">
        <v>488</v>
      </c>
      <c r="I7" s="275" t="s">
        <v>538</v>
      </c>
      <c r="P7" s="724" t="s">
        <v>811</v>
      </c>
      <c r="S7" s="216" t="s">
        <v>541</v>
      </c>
      <c r="T7" s="216">
        <v>1059.1083333333333</v>
      </c>
      <c r="W7" s="450"/>
      <c r="AB7" s="451" t="s">
        <v>118</v>
      </c>
      <c r="AC7" s="451">
        <v>17</v>
      </c>
      <c r="AD7" s="452">
        <v>2442</v>
      </c>
      <c r="AE7" s="451" t="s">
        <v>125</v>
      </c>
    </row>
    <row r="8" spans="1:31" ht="14.55" thickBot="1" x14ac:dyDescent="0.35">
      <c r="A8" s="446" t="s">
        <v>317</v>
      </c>
      <c r="B8" s="447" t="s">
        <v>813</v>
      </c>
      <c r="C8" s="448">
        <v>2100</v>
      </c>
      <c r="D8" s="449">
        <v>2282</v>
      </c>
      <c r="G8" s="272" t="s">
        <v>518</v>
      </c>
      <c r="I8" s="275" t="s">
        <v>200</v>
      </c>
      <c r="P8" s="724"/>
      <c r="S8" s="216" t="s">
        <v>541</v>
      </c>
      <c r="T8" s="216">
        <v>1196.2874999999999</v>
      </c>
      <c r="W8" s="450"/>
    </row>
    <row r="9" spans="1:31" x14ac:dyDescent="0.3">
      <c r="A9" s="446" t="s">
        <v>318</v>
      </c>
      <c r="B9" s="447" t="s">
        <v>813</v>
      </c>
      <c r="C9" s="448">
        <v>2100</v>
      </c>
      <c r="D9" s="449">
        <v>2282</v>
      </c>
      <c r="G9" s="272" t="s">
        <v>483</v>
      </c>
      <c r="I9" s="275" t="s">
        <v>553</v>
      </c>
      <c r="K9" s="721" t="s">
        <v>722</v>
      </c>
      <c r="L9" s="722"/>
      <c r="M9" s="723"/>
      <c r="P9" s="724"/>
      <c r="S9" s="216" t="s">
        <v>539</v>
      </c>
      <c r="T9" s="216">
        <v>1332.8583333333333</v>
      </c>
      <c r="W9" s="450"/>
    </row>
    <row r="10" spans="1:31" x14ac:dyDescent="0.3">
      <c r="A10" s="446" t="s">
        <v>319</v>
      </c>
      <c r="B10" s="447" t="s">
        <v>813</v>
      </c>
      <c r="C10" s="448">
        <v>2100</v>
      </c>
      <c r="D10" s="449">
        <v>2282</v>
      </c>
      <c r="G10" s="273" t="s">
        <v>482</v>
      </c>
      <c r="I10" s="275" t="s">
        <v>548</v>
      </c>
      <c r="K10" s="453" t="s">
        <v>608</v>
      </c>
      <c r="L10" s="454"/>
      <c r="M10" s="455">
        <v>2908</v>
      </c>
      <c r="P10" s="724"/>
      <c r="S10" s="216" t="s">
        <v>539</v>
      </c>
      <c r="T10" s="216">
        <v>1628.8125</v>
      </c>
      <c r="W10" s="450"/>
    </row>
    <row r="11" spans="1:31" ht="14.55" thickBot="1" x14ac:dyDescent="0.35">
      <c r="A11" s="446" t="s">
        <v>320</v>
      </c>
      <c r="B11" s="447" t="s">
        <v>813</v>
      </c>
      <c r="C11" s="448">
        <v>2100</v>
      </c>
      <c r="D11" s="449">
        <v>2282</v>
      </c>
      <c r="G11" s="272" t="s">
        <v>485</v>
      </c>
      <c r="I11" s="275" t="s">
        <v>561</v>
      </c>
      <c r="K11" s="456" t="s">
        <v>616</v>
      </c>
      <c r="L11" s="457"/>
      <c r="M11" s="458">
        <v>3069</v>
      </c>
      <c r="P11" s="724"/>
      <c r="S11" s="216" t="s">
        <v>475</v>
      </c>
      <c r="T11" s="216">
        <v>1904.0833333333333</v>
      </c>
      <c r="W11" s="450"/>
    </row>
    <row r="12" spans="1:31" x14ac:dyDescent="0.3">
      <c r="A12" s="446" t="s">
        <v>321</v>
      </c>
      <c r="B12" s="447" t="s">
        <v>813</v>
      </c>
      <c r="C12" s="448">
        <v>2100</v>
      </c>
      <c r="D12" s="449">
        <v>2282</v>
      </c>
      <c r="G12" s="272" t="s">
        <v>531</v>
      </c>
      <c r="I12" s="275" t="s">
        <v>544</v>
      </c>
      <c r="P12" s="724"/>
      <c r="S12" s="216" t="s">
        <v>541</v>
      </c>
      <c r="T12" s="216">
        <v>2174.4874999999997</v>
      </c>
      <c r="W12" s="450"/>
    </row>
    <row r="13" spans="1:31" x14ac:dyDescent="0.3">
      <c r="A13" s="446" t="s">
        <v>322</v>
      </c>
      <c r="B13" s="447" t="s">
        <v>813</v>
      </c>
      <c r="C13" s="448">
        <v>2100</v>
      </c>
      <c r="D13" s="449">
        <v>2282</v>
      </c>
      <c r="G13" s="272" t="s">
        <v>484</v>
      </c>
      <c r="I13" s="275" t="s">
        <v>213</v>
      </c>
      <c r="P13" s="724"/>
      <c r="S13" s="216" t="s">
        <v>541</v>
      </c>
      <c r="T13" s="216">
        <v>2463.4458333333332</v>
      </c>
      <c r="W13" s="450"/>
    </row>
    <row r="14" spans="1:31" x14ac:dyDescent="0.3">
      <c r="A14" s="446" t="s">
        <v>323</v>
      </c>
      <c r="B14" s="447" t="s">
        <v>813</v>
      </c>
      <c r="C14" s="448">
        <v>2100</v>
      </c>
      <c r="D14" s="449">
        <v>2282</v>
      </c>
      <c r="G14" s="272" t="s">
        <v>486</v>
      </c>
      <c r="I14" s="275" t="s">
        <v>539</v>
      </c>
      <c r="P14" s="724"/>
      <c r="S14" s="216" t="s">
        <v>538</v>
      </c>
      <c r="T14" s="216">
        <v>2619.4833333333336</v>
      </c>
      <c r="W14" s="450"/>
    </row>
    <row r="15" spans="1:31" x14ac:dyDescent="0.3">
      <c r="A15" s="446" t="s">
        <v>324</v>
      </c>
      <c r="B15" s="447" t="s">
        <v>813</v>
      </c>
      <c r="C15" s="448">
        <v>2100</v>
      </c>
      <c r="D15" s="449">
        <v>2282</v>
      </c>
      <c r="G15" s="272" t="s">
        <v>487</v>
      </c>
      <c r="I15" s="275" t="s">
        <v>545</v>
      </c>
      <c r="K15" s="459" t="s">
        <v>759</v>
      </c>
      <c r="L15" s="460" t="s">
        <v>760</v>
      </c>
      <c r="P15" s="724"/>
      <c r="S15" s="216" t="s">
        <v>540</v>
      </c>
      <c r="T15" s="216">
        <v>2924.2583333333332</v>
      </c>
      <c r="W15" s="450"/>
    </row>
    <row r="16" spans="1:31" ht="15.6" x14ac:dyDescent="0.35">
      <c r="A16" s="446" t="s">
        <v>325</v>
      </c>
      <c r="B16" s="447" t="s">
        <v>813</v>
      </c>
      <c r="C16" s="448">
        <v>2100</v>
      </c>
      <c r="D16" s="449">
        <v>2282</v>
      </c>
      <c r="G16" s="272" t="s">
        <v>490</v>
      </c>
      <c r="I16" s="275" t="s">
        <v>540</v>
      </c>
      <c r="K16" s="461">
        <v>1</v>
      </c>
      <c r="L16" s="462" t="s">
        <v>758</v>
      </c>
      <c r="P16" s="724"/>
      <c r="S16" s="216" t="s">
        <v>542</v>
      </c>
      <c r="T16" s="216">
        <v>3075.4291666666668</v>
      </c>
      <c r="W16" s="450"/>
    </row>
    <row r="17" spans="1:23" ht="15.6" x14ac:dyDescent="0.35">
      <c r="A17" s="446" t="s">
        <v>326</v>
      </c>
      <c r="B17" s="447" t="s">
        <v>813</v>
      </c>
      <c r="C17" s="448">
        <v>2100</v>
      </c>
      <c r="D17" s="449">
        <v>2282</v>
      </c>
      <c r="G17" s="272" t="s">
        <v>489</v>
      </c>
      <c r="I17" s="275" t="s">
        <v>280</v>
      </c>
      <c r="K17" s="463">
        <v>2</v>
      </c>
      <c r="L17" s="464" t="s">
        <v>761</v>
      </c>
      <c r="P17" s="724"/>
      <c r="S17" s="216" t="s">
        <v>541</v>
      </c>
      <c r="T17" s="216">
        <v>3467.5</v>
      </c>
      <c r="W17" s="450"/>
    </row>
    <row r="18" spans="1:23" ht="15.6" x14ac:dyDescent="0.35">
      <c r="A18" s="446" t="s">
        <v>327</v>
      </c>
      <c r="B18" s="447" t="s">
        <v>813</v>
      </c>
      <c r="C18" s="448">
        <v>2100</v>
      </c>
      <c r="D18" s="449">
        <v>2282</v>
      </c>
      <c r="G18" s="272" t="s">
        <v>491</v>
      </c>
      <c r="I18" s="275" t="s">
        <v>559</v>
      </c>
      <c r="K18" s="465">
        <v>3</v>
      </c>
      <c r="L18" s="466" t="s">
        <v>765</v>
      </c>
      <c r="P18" s="724"/>
      <c r="S18" s="216" t="s">
        <v>539</v>
      </c>
      <c r="T18" s="216">
        <v>3610.7624999999994</v>
      </c>
      <c r="W18" s="450"/>
    </row>
    <row r="19" spans="1:23" x14ac:dyDescent="0.3">
      <c r="A19" s="446" t="s">
        <v>328</v>
      </c>
      <c r="B19" s="447" t="s">
        <v>813</v>
      </c>
      <c r="C19" s="448">
        <v>2100</v>
      </c>
      <c r="D19" s="449">
        <v>2282</v>
      </c>
      <c r="G19" s="272" t="s">
        <v>492</v>
      </c>
      <c r="I19" s="275" t="s">
        <v>550</v>
      </c>
      <c r="K19" s="216">
        <v>4</v>
      </c>
      <c r="L19" s="216" t="s">
        <v>764</v>
      </c>
      <c r="S19" s="216" t="s">
        <v>542</v>
      </c>
      <c r="T19" s="216">
        <v>4040.8541666666665</v>
      </c>
      <c r="W19" s="450"/>
    </row>
    <row r="20" spans="1:23" x14ac:dyDescent="0.3">
      <c r="A20" s="446" t="s">
        <v>329</v>
      </c>
      <c r="B20" s="447" t="s">
        <v>813</v>
      </c>
      <c r="C20" s="448">
        <v>2100</v>
      </c>
      <c r="D20" s="449">
        <v>2282</v>
      </c>
      <c r="G20" s="272" t="s">
        <v>532</v>
      </c>
      <c r="I20" s="275" t="s">
        <v>549</v>
      </c>
      <c r="K20" s="461">
        <v>5</v>
      </c>
      <c r="L20" s="461" t="s">
        <v>559</v>
      </c>
      <c r="S20" s="216" t="s">
        <v>543</v>
      </c>
      <c r="T20" s="216">
        <v>4184.1166666666668</v>
      </c>
      <c r="W20" s="450"/>
    </row>
    <row r="21" spans="1:23" x14ac:dyDescent="0.3">
      <c r="A21" s="446" t="s">
        <v>330</v>
      </c>
      <c r="B21" s="447" t="s">
        <v>813</v>
      </c>
      <c r="C21" s="448">
        <v>2100</v>
      </c>
      <c r="D21" s="449">
        <v>2282</v>
      </c>
      <c r="G21" s="272" t="s">
        <v>493</v>
      </c>
      <c r="I21" s="275" t="s">
        <v>546</v>
      </c>
      <c r="K21" s="216">
        <v>6</v>
      </c>
      <c r="L21" s="216" t="s">
        <v>560</v>
      </c>
      <c r="S21" s="216" t="s">
        <v>541</v>
      </c>
      <c r="T21" s="216">
        <v>4327.3791666666666</v>
      </c>
      <c r="W21" s="450"/>
    </row>
    <row r="22" spans="1:23" x14ac:dyDescent="0.3">
      <c r="A22" s="446" t="s">
        <v>818</v>
      </c>
      <c r="B22" s="447" t="s">
        <v>813</v>
      </c>
      <c r="C22" s="448">
        <v>2100</v>
      </c>
      <c r="D22" s="449">
        <v>2282</v>
      </c>
      <c r="G22" s="272" t="s">
        <v>497</v>
      </c>
      <c r="I22" s="275" t="s">
        <v>560</v>
      </c>
      <c r="K22" s="461">
        <v>7</v>
      </c>
      <c r="L22" s="461" t="s">
        <v>767</v>
      </c>
      <c r="S22" s="216" t="s">
        <v>475</v>
      </c>
    </row>
    <row r="23" spans="1:23" x14ac:dyDescent="0.3">
      <c r="A23" s="446" t="s">
        <v>331</v>
      </c>
      <c r="B23" s="447" t="s">
        <v>813</v>
      </c>
      <c r="C23" s="448">
        <v>2100</v>
      </c>
      <c r="D23" s="449">
        <v>2282</v>
      </c>
      <c r="G23" s="272" t="s">
        <v>494</v>
      </c>
      <c r="I23" s="275" t="s">
        <v>232</v>
      </c>
      <c r="S23" s="216" t="s">
        <v>542</v>
      </c>
    </row>
    <row r="24" spans="1:23" x14ac:dyDescent="0.3">
      <c r="A24" s="446" t="s">
        <v>332</v>
      </c>
      <c r="B24" s="447" t="s">
        <v>813</v>
      </c>
      <c r="C24" s="448">
        <v>2100</v>
      </c>
      <c r="D24" s="449">
        <v>2282</v>
      </c>
      <c r="G24" s="272" t="s">
        <v>495</v>
      </c>
      <c r="I24" s="275" t="s">
        <v>547</v>
      </c>
      <c r="S24" s="216" t="s">
        <v>542</v>
      </c>
    </row>
    <row r="25" spans="1:23" x14ac:dyDescent="0.3">
      <c r="A25" s="446" t="s">
        <v>333</v>
      </c>
      <c r="B25" s="447" t="s">
        <v>813</v>
      </c>
      <c r="C25" s="448">
        <v>2100</v>
      </c>
      <c r="D25" s="449">
        <v>2282</v>
      </c>
      <c r="G25" s="272" t="s">
        <v>496</v>
      </c>
      <c r="I25" s="275" t="s">
        <v>541</v>
      </c>
      <c r="S25" s="216" t="s">
        <v>539</v>
      </c>
    </row>
    <row r="26" spans="1:23" x14ac:dyDescent="0.3">
      <c r="A26" s="446" t="s">
        <v>334</v>
      </c>
      <c r="B26" s="447" t="s">
        <v>813</v>
      </c>
      <c r="C26" s="448">
        <v>2100</v>
      </c>
      <c r="D26" s="449">
        <v>2282</v>
      </c>
      <c r="G26" s="272" t="s">
        <v>498</v>
      </c>
      <c r="I26" s="275" t="s">
        <v>551</v>
      </c>
      <c r="K26" s="467" t="s">
        <v>114</v>
      </c>
      <c r="L26" s="467" t="s">
        <v>115</v>
      </c>
      <c r="S26" s="216" t="s">
        <v>539</v>
      </c>
    </row>
    <row r="27" spans="1:23" ht="15.6" x14ac:dyDescent="0.35">
      <c r="A27" s="446" t="s">
        <v>335</v>
      </c>
      <c r="B27" s="447" t="s">
        <v>813</v>
      </c>
      <c r="C27" s="448">
        <v>2100</v>
      </c>
      <c r="D27" s="449">
        <v>2282</v>
      </c>
      <c r="G27" s="272" t="s">
        <v>499</v>
      </c>
      <c r="I27" s="275" t="s">
        <v>556</v>
      </c>
      <c r="K27" s="375" t="s">
        <v>766</v>
      </c>
      <c r="L27" s="468">
        <v>1</v>
      </c>
      <c r="S27" s="216" t="s">
        <v>542</v>
      </c>
    </row>
    <row r="28" spans="1:23" ht="15.6" x14ac:dyDescent="0.35">
      <c r="A28" s="446" t="s">
        <v>336</v>
      </c>
      <c r="B28" s="447" t="s">
        <v>813</v>
      </c>
      <c r="C28" s="448">
        <v>2100</v>
      </c>
      <c r="D28" s="449">
        <v>2282</v>
      </c>
      <c r="G28" s="272" t="s">
        <v>500</v>
      </c>
      <c r="I28" s="275" t="s">
        <v>238</v>
      </c>
      <c r="K28" s="375" t="s">
        <v>110</v>
      </c>
      <c r="L28" s="469" t="s">
        <v>112</v>
      </c>
      <c r="S28" s="216" t="s">
        <v>538</v>
      </c>
    </row>
    <row r="29" spans="1:23" ht="15.6" x14ac:dyDescent="0.35">
      <c r="A29" s="446" t="s">
        <v>337</v>
      </c>
      <c r="B29" s="447" t="s">
        <v>813</v>
      </c>
      <c r="C29" s="448">
        <v>2100</v>
      </c>
      <c r="D29" s="449">
        <v>2282</v>
      </c>
      <c r="G29" s="272" t="s">
        <v>502</v>
      </c>
      <c r="I29" s="275" t="s">
        <v>554</v>
      </c>
      <c r="K29" s="375" t="s">
        <v>111</v>
      </c>
      <c r="L29" s="468" t="s">
        <v>113</v>
      </c>
      <c r="S29" s="216" t="s">
        <v>543</v>
      </c>
    </row>
    <row r="30" spans="1:23" ht="14.55" thickBot="1" x14ac:dyDescent="0.35">
      <c r="A30" s="446" t="s">
        <v>338</v>
      </c>
      <c r="B30" s="447" t="s">
        <v>813</v>
      </c>
      <c r="C30" s="448">
        <v>2100</v>
      </c>
      <c r="D30" s="449">
        <v>2282</v>
      </c>
      <c r="G30" s="272" t="s">
        <v>501</v>
      </c>
      <c r="I30" s="275" t="s">
        <v>542</v>
      </c>
      <c r="S30" s="216" t="s">
        <v>539</v>
      </c>
    </row>
    <row r="31" spans="1:23" ht="15.05" thickTop="1" thickBot="1" x14ac:dyDescent="0.35">
      <c r="A31" s="446" t="s">
        <v>339</v>
      </c>
      <c r="B31" s="447" t="s">
        <v>813</v>
      </c>
      <c r="C31" s="448">
        <v>2100</v>
      </c>
      <c r="D31" s="449">
        <v>2282</v>
      </c>
      <c r="G31" s="272" t="s">
        <v>504</v>
      </c>
      <c r="I31" s="275" t="s">
        <v>543</v>
      </c>
      <c r="K31" s="216" t="s">
        <v>566</v>
      </c>
      <c r="L31" s="470" t="str">
        <f ca="1">IF(INFO("system")="mac",CHAR(13),CHAR(10))</f>
        <v xml:space="preserve">
</v>
      </c>
      <c r="S31" s="216" t="s">
        <v>540</v>
      </c>
    </row>
    <row r="32" spans="1:23" ht="14.55" thickTop="1" x14ac:dyDescent="0.3">
      <c r="A32" s="446" t="s">
        <v>340</v>
      </c>
      <c r="B32" s="447" t="s">
        <v>813</v>
      </c>
      <c r="C32" s="448">
        <v>2100</v>
      </c>
      <c r="D32" s="449">
        <v>2282</v>
      </c>
      <c r="G32" s="272" t="s">
        <v>505</v>
      </c>
      <c r="I32" s="275" t="s">
        <v>555</v>
      </c>
      <c r="S32" s="216" t="s">
        <v>538</v>
      </c>
    </row>
    <row r="33" spans="1:19" ht="14.55" thickBot="1" x14ac:dyDescent="0.35">
      <c r="A33" s="446" t="s">
        <v>341</v>
      </c>
      <c r="B33" s="447" t="s">
        <v>813</v>
      </c>
      <c r="C33" s="448">
        <v>2100</v>
      </c>
      <c r="D33" s="449">
        <v>2282</v>
      </c>
      <c r="G33" s="272" t="s">
        <v>506</v>
      </c>
      <c r="I33" s="276" t="s">
        <v>475</v>
      </c>
      <c r="S33" s="216" t="s">
        <v>541</v>
      </c>
    </row>
    <row r="34" spans="1:19" x14ac:dyDescent="0.3">
      <c r="A34" s="446" t="s">
        <v>342</v>
      </c>
      <c r="B34" s="447" t="s">
        <v>813</v>
      </c>
      <c r="C34" s="448">
        <v>2100</v>
      </c>
      <c r="D34" s="449">
        <v>2282</v>
      </c>
      <c r="G34" s="272" t="s">
        <v>533</v>
      </c>
      <c r="S34" s="216" t="s">
        <v>539</v>
      </c>
    </row>
    <row r="35" spans="1:19" x14ac:dyDescent="0.3">
      <c r="A35" s="446" t="s">
        <v>343</v>
      </c>
      <c r="B35" s="447" t="s">
        <v>813</v>
      </c>
      <c r="C35" s="448">
        <v>2100</v>
      </c>
      <c r="D35" s="449">
        <v>2282</v>
      </c>
      <c r="G35" s="272" t="s">
        <v>503</v>
      </c>
      <c r="S35" s="216" t="s">
        <v>539</v>
      </c>
    </row>
    <row r="36" spans="1:19" x14ac:dyDescent="0.3">
      <c r="A36" s="446" t="s">
        <v>344</v>
      </c>
      <c r="B36" s="447" t="s">
        <v>813</v>
      </c>
      <c r="C36" s="448">
        <v>2100</v>
      </c>
      <c r="D36" s="449">
        <v>2282</v>
      </c>
      <c r="G36" s="272" t="s">
        <v>507</v>
      </c>
      <c r="S36" s="216" t="s">
        <v>539</v>
      </c>
    </row>
    <row r="37" spans="1:19" x14ac:dyDescent="0.3">
      <c r="A37" s="446" t="s">
        <v>345</v>
      </c>
      <c r="B37" s="447" t="s">
        <v>813</v>
      </c>
      <c r="C37" s="448">
        <v>2100</v>
      </c>
      <c r="D37" s="449">
        <v>2282</v>
      </c>
      <c r="G37" s="272" t="s">
        <v>513</v>
      </c>
      <c r="S37" s="216" t="s">
        <v>538</v>
      </c>
    </row>
    <row r="38" spans="1:19" x14ac:dyDescent="0.3">
      <c r="A38" s="446" t="s">
        <v>346</v>
      </c>
      <c r="B38" s="447" t="s">
        <v>813</v>
      </c>
      <c r="C38" s="448">
        <v>2100</v>
      </c>
      <c r="D38" s="449">
        <v>2282</v>
      </c>
      <c r="G38" s="272" t="s">
        <v>514</v>
      </c>
      <c r="S38" s="216" t="s">
        <v>539</v>
      </c>
    </row>
    <row r="39" spans="1:19" x14ac:dyDescent="0.3">
      <c r="A39" s="446" t="s">
        <v>347</v>
      </c>
      <c r="B39" s="447" t="s">
        <v>813</v>
      </c>
      <c r="C39" s="448">
        <v>2100</v>
      </c>
      <c r="D39" s="449">
        <v>2282</v>
      </c>
      <c r="G39" s="272" t="s">
        <v>508</v>
      </c>
      <c r="S39" s="216" t="s">
        <v>542</v>
      </c>
    </row>
    <row r="40" spans="1:19" x14ac:dyDescent="0.3">
      <c r="A40" s="446" t="s">
        <v>348</v>
      </c>
      <c r="B40" s="447" t="s">
        <v>813</v>
      </c>
      <c r="C40" s="448">
        <v>2100</v>
      </c>
      <c r="D40" s="449">
        <v>2282</v>
      </c>
      <c r="G40" s="272" t="s">
        <v>510</v>
      </c>
      <c r="S40" s="216" t="s">
        <v>542</v>
      </c>
    </row>
    <row r="41" spans="1:19" x14ac:dyDescent="0.3">
      <c r="A41" s="446" t="s">
        <v>349</v>
      </c>
      <c r="B41" s="447" t="s">
        <v>813</v>
      </c>
      <c r="C41" s="448">
        <v>2100</v>
      </c>
      <c r="D41" s="449">
        <v>2282</v>
      </c>
      <c r="G41" s="272" t="s">
        <v>511</v>
      </c>
      <c r="S41" s="216" t="s">
        <v>542</v>
      </c>
    </row>
    <row r="42" spans="1:19" x14ac:dyDescent="0.3">
      <c r="A42" s="446" t="s">
        <v>350</v>
      </c>
      <c r="B42" s="447" t="s">
        <v>813</v>
      </c>
      <c r="C42" s="448">
        <v>2100</v>
      </c>
      <c r="D42" s="449">
        <v>2282</v>
      </c>
      <c r="G42" s="272" t="s">
        <v>509</v>
      </c>
      <c r="S42" s="216" t="s">
        <v>543</v>
      </c>
    </row>
    <row r="43" spans="1:19" x14ac:dyDescent="0.3">
      <c r="A43" s="446" t="s">
        <v>351</v>
      </c>
      <c r="B43" s="447" t="s">
        <v>813</v>
      </c>
      <c r="C43" s="448">
        <v>2100</v>
      </c>
      <c r="D43" s="449">
        <v>2282</v>
      </c>
      <c r="G43" s="272" t="s">
        <v>512</v>
      </c>
      <c r="S43" s="216" t="s">
        <v>539</v>
      </c>
    </row>
    <row r="44" spans="1:19" x14ac:dyDescent="0.3">
      <c r="A44" s="446" t="s">
        <v>352</v>
      </c>
      <c r="B44" s="447" t="s">
        <v>813</v>
      </c>
      <c r="C44" s="448">
        <v>2100</v>
      </c>
      <c r="D44" s="449">
        <v>2282</v>
      </c>
      <c r="G44" s="272" t="s">
        <v>515</v>
      </c>
      <c r="S44" s="216" t="s">
        <v>538</v>
      </c>
    </row>
    <row r="45" spans="1:19" x14ac:dyDescent="0.3">
      <c r="A45" s="446" t="s">
        <v>353</v>
      </c>
      <c r="B45" s="447" t="s">
        <v>813</v>
      </c>
      <c r="C45" s="448">
        <v>2100</v>
      </c>
      <c r="D45" s="449">
        <v>2282</v>
      </c>
      <c r="G45" s="272" t="s">
        <v>516</v>
      </c>
      <c r="S45" s="216" t="s">
        <v>539</v>
      </c>
    </row>
    <row r="46" spans="1:19" x14ac:dyDescent="0.3">
      <c r="A46" s="446" t="s">
        <v>354</v>
      </c>
      <c r="B46" s="447" t="s">
        <v>813</v>
      </c>
      <c r="C46" s="448">
        <v>2100</v>
      </c>
      <c r="D46" s="449">
        <v>2282</v>
      </c>
      <c r="G46" s="272" t="s">
        <v>517</v>
      </c>
      <c r="S46" s="216" t="s">
        <v>541</v>
      </c>
    </row>
    <row r="47" spans="1:19" x14ac:dyDescent="0.3">
      <c r="A47" s="446" t="s">
        <v>355</v>
      </c>
      <c r="B47" s="447" t="s">
        <v>813</v>
      </c>
      <c r="C47" s="448">
        <v>2100</v>
      </c>
      <c r="D47" s="449">
        <v>2282</v>
      </c>
      <c r="G47" s="272" t="s">
        <v>534</v>
      </c>
      <c r="S47" s="216" t="s">
        <v>538</v>
      </c>
    </row>
    <row r="48" spans="1:19" x14ac:dyDescent="0.3">
      <c r="A48" s="446" t="s">
        <v>356</v>
      </c>
      <c r="B48" s="447" t="s">
        <v>813</v>
      </c>
      <c r="C48" s="448">
        <v>2100</v>
      </c>
      <c r="D48" s="449">
        <v>2282</v>
      </c>
      <c r="G48" s="272" t="s">
        <v>520</v>
      </c>
      <c r="S48" s="216" t="s">
        <v>542</v>
      </c>
    </row>
    <row r="49" spans="1:19" x14ac:dyDescent="0.3">
      <c r="A49" s="446" t="s">
        <v>357</v>
      </c>
      <c r="B49" s="447" t="s">
        <v>813</v>
      </c>
      <c r="C49" s="448">
        <v>2100</v>
      </c>
      <c r="D49" s="449">
        <v>2282</v>
      </c>
      <c r="G49" s="272" t="s">
        <v>521</v>
      </c>
      <c r="S49" s="216" t="s">
        <v>541</v>
      </c>
    </row>
    <row r="50" spans="1:19" x14ac:dyDescent="0.3">
      <c r="A50" s="446" t="s">
        <v>358</v>
      </c>
      <c r="B50" s="447" t="s">
        <v>813</v>
      </c>
      <c r="C50" s="448">
        <v>2100</v>
      </c>
      <c r="D50" s="449">
        <v>2282</v>
      </c>
      <c r="G50" s="272" t="s">
        <v>522</v>
      </c>
      <c r="S50" s="216" t="s">
        <v>539</v>
      </c>
    </row>
    <row r="51" spans="1:19" x14ac:dyDescent="0.3">
      <c r="A51" s="446" t="s">
        <v>359</v>
      </c>
      <c r="B51" s="447" t="s">
        <v>813</v>
      </c>
      <c r="C51" s="448">
        <v>2100</v>
      </c>
      <c r="D51" s="449">
        <v>2282</v>
      </c>
      <c r="G51" s="272" t="s">
        <v>523</v>
      </c>
      <c r="S51" s="216" t="s">
        <v>539</v>
      </c>
    </row>
    <row r="52" spans="1:19" x14ac:dyDescent="0.3">
      <c r="A52" s="446" t="s">
        <v>360</v>
      </c>
      <c r="B52" s="447" t="s">
        <v>813</v>
      </c>
      <c r="C52" s="448">
        <v>2100</v>
      </c>
      <c r="D52" s="449">
        <v>2282</v>
      </c>
      <c r="G52" s="272" t="s">
        <v>524</v>
      </c>
      <c r="S52" s="216" t="s">
        <v>542</v>
      </c>
    </row>
    <row r="53" spans="1:19" x14ac:dyDescent="0.3">
      <c r="A53" s="446" t="s">
        <v>361</v>
      </c>
      <c r="B53" s="447" t="s">
        <v>813</v>
      </c>
      <c r="C53" s="448">
        <v>2100</v>
      </c>
      <c r="D53" s="449">
        <v>2282</v>
      </c>
      <c r="G53" s="272" t="s">
        <v>526</v>
      </c>
      <c r="S53" s="216" t="s">
        <v>540</v>
      </c>
    </row>
    <row r="54" spans="1:19" x14ac:dyDescent="0.3">
      <c r="A54" s="446" t="s">
        <v>362</v>
      </c>
      <c r="B54" s="447" t="s">
        <v>813</v>
      </c>
      <c r="C54" s="448">
        <v>2100</v>
      </c>
      <c r="D54" s="449">
        <v>2282</v>
      </c>
      <c r="G54" s="272" t="s">
        <v>535</v>
      </c>
      <c r="S54" s="216" t="s">
        <v>543</v>
      </c>
    </row>
    <row r="55" spans="1:19" x14ac:dyDescent="0.3">
      <c r="A55" s="446" t="s">
        <v>363</v>
      </c>
      <c r="B55" s="447" t="s">
        <v>813</v>
      </c>
      <c r="C55" s="448">
        <v>2100</v>
      </c>
      <c r="D55" s="449">
        <v>2282</v>
      </c>
      <c r="G55" s="272" t="s">
        <v>527</v>
      </c>
      <c r="S55" s="216" t="s">
        <v>538</v>
      </c>
    </row>
    <row r="56" spans="1:19" x14ac:dyDescent="0.3">
      <c r="A56" s="446" t="s">
        <v>364</v>
      </c>
      <c r="B56" s="447" t="s">
        <v>813</v>
      </c>
      <c r="C56" s="448">
        <v>2100</v>
      </c>
      <c r="D56" s="449">
        <v>2282</v>
      </c>
      <c r="G56" s="272" t="s">
        <v>529</v>
      </c>
      <c r="S56" s="216" t="s">
        <v>539</v>
      </c>
    </row>
    <row r="57" spans="1:19" x14ac:dyDescent="0.3">
      <c r="A57" s="446" t="s">
        <v>365</v>
      </c>
      <c r="B57" s="447" t="s">
        <v>813</v>
      </c>
      <c r="C57" s="448">
        <v>2100</v>
      </c>
      <c r="D57" s="449">
        <v>2282</v>
      </c>
      <c r="G57" s="272" t="s">
        <v>528</v>
      </c>
      <c r="S57" s="216" t="s">
        <v>541</v>
      </c>
    </row>
    <row r="58" spans="1:19" ht="14.55" thickBot="1" x14ac:dyDescent="0.35">
      <c r="A58" s="446" t="s">
        <v>366</v>
      </c>
      <c r="B58" s="447" t="s">
        <v>813</v>
      </c>
      <c r="C58" s="448">
        <v>2100</v>
      </c>
      <c r="D58" s="449">
        <v>2282</v>
      </c>
      <c r="G58" s="274" t="s">
        <v>530</v>
      </c>
      <c r="S58" s="216" t="s">
        <v>539</v>
      </c>
    </row>
    <row r="59" spans="1:19" x14ac:dyDescent="0.3">
      <c r="A59" s="446" t="s">
        <v>367</v>
      </c>
      <c r="B59" s="447" t="s">
        <v>813</v>
      </c>
      <c r="C59" s="448">
        <v>2100</v>
      </c>
      <c r="D59" s="449">
        <v>2282</v>
      </c>
      <c r="S59" s="216" t="s">
        <v>543</v>
      </c>
    </row>
    <row r="60" spans="1:19" x14ac:dyDescent="0.3">
      <c r="A60" s="446" t="s">
        <v>368</v>
      </c>
      <c r="B60" s="447" t="s">
        <v>813</v>
      </c>
      <c r="C60" s="448">
        <v>2100</v>
      </c>
      <c r="D60" s="449">
        <v>2282</v>
      </c>
      <c r="S60" s="216" t="s">
        <v>538</v>
      </c>
    </row>
    <row r="61" spans="1:19" x14ac:dyDescent="0.3">
      <c r="A61" s="446" t="s">
        <v>369</v>
      </c>
      <c r="B61" s="447" t="s">
        <v>813</v>
      </c>
      <c r="C61" s="448">
        <v>2100</v>
      </c>
      <c r="D61" s="449">
        <v>2282</v>
      </c>
      <c r="S61" s="216" t="s">
        <v>541</v>
      </c>
    </row>
    <row r="62" spans="1:19" x14ac:dyDescent="0.3">
      <c r="A62" s="446" t="s">
        <v>370</v>
      </c>
      <c r="B62" s="447" t="s">
        <v>813</v>
      </c>
      <c r="C62" s="448">
        <v>2100</v>
      </c>
      <c r="D62" s="449">
        <v>2282</v>
      </c>
      <c r="S62" s="216" t="s">
        <v>541</v>
      </c>
    </row>
    <row r="63" spans="1:19" x14ac:dyDescent="0.3">
      <c r="A63" s="446" t="s">
        <v>371</v>
      </c>
      <c r="B63" s="447" t="s">
        <v>813</v>
      </c>
      <c r="C63" s="448">
        <v>2100</v>
      </c>
      <c r="D63" s="449">
        <v>2282</v>
      </c>
      <c r="S63" s="216" t="s">
        <v>539</v>
      </c>
    </row>
    <row r="64" spans="1:19" x14ac:dyDescent="0.3">
      <c r="A64" s="446" t="s">
        <v>372</v>
      </c>
      <c r="B64" s="447" t="s">
        <v>813</v>
      </c>
      <c r="C64" s="448">
        <v>2100</v>
      </c>
      <c r="D64" s="449">
        <v>2282</v>
      </c>
      <c r="S64" s="216" t="s">
        <v>539</v>
      </c>
    </row>
    <row r="65" spans="1:19" x14ac:dyDescent="0.3">
      <c r="A65" s="446" t="s">
        <v>373</v>
      </c>
      <c r="B65" s="447" t="s">
        <v>813</v>
      </c>
      <c r="C65" s="448">
        <v>2100</v>
      </c>
      <c r="D65" s="449">
        <v>2282</v>
      </c>
      <c r="S65" s="216" t="s">
        <v>539</v>
      </c>
    </row>
    <row r="66" spans="1:19" x14ac:dyDescent="0.3">
      <c r="A66" s="446" t="s">
        <v>374</v>
      </c>
      <c r="B66" s="447" t="s">
        <v>813</v>
      </c>
      <c r="C66" s="448">
        <v>2100</v>
      </c>
      <c r="D66" s="449">
        <v>2282</v>
      </c>
      <c r="S66" s="216" t="s">
        <v>538</v>
      </c>
    </row>
    <row r="67" spans="1:19" x14ac:dyDescent="0.3">
      <c r="A67" s="446" t="s">
        <v>375</v>
      </c>
      <c r="B67" s="447" t="s">
        <v>813</v>
      </c>
      <c r="C67" s="448">
        <v>2100</v>
      </c>
      <c r="D67" s="449">
        <v>2282</v>
      </c>
      <c r="S67" s="216" t="s">
        <v>475</v>
      </c>
    </row>
    <row r="68" spans="1:19" x14ac:dyDescent="0.3">
      <c r="A68" s="446" t="s">
        <v>376</v>
      </c>
      <c r="B68" s="447" t="s">
        <v>813</v>
      </c>
      <c r="C68" s="448">
        <v>2100</v>
      </c>
      <c r="D68" s="449">
        <v>2282</v>
      </c>
      <c r="S68" s="216" t="s">
        <v>542</v>
      </c>
    </row>
    <row r="69" spans="1:19" x14ac:dyDescent="0.3">
      <c r="A69" s="446" t="s">
        <v>377</v>
      </c>
      <c r="B69" s="447" t="s">
        <v>813</v>
      </c>
      <c r="C69" s="448">
        <v>2100</v>
      </c>
      <c r="D69" s="449">
        <v>2282</v>
      </c>
      <c r="S69" s="216" t="s">
        <v>540</v>
      </c>
    </row>
    <row r="70" spans="1:19" x14ac:dyDescent="0.3">
      <c r="A70" s="446" t="s">
        <v>378</v>
      </c>
      <c r="B70" s="447" t="s">
        <v>813</v>
      </c>
      <c r="C70" s="448">
        <v>2100</v>
      </c>
      <c r="D70" s="449">
        <v>2282</v>
      </c>
      <c r="S70" s="216" t="s">
        <v>542</v>
      </c>
    </row>
    <row r="71" spans="1:19" x14ac:dyDescent="0.3">
      <c r="A71" s="446" t="s">
        <v>379</v>
      </c>
      <c r="B71" s="447" t="s">
        <v>813</v>
      </c>
      <c r="C71" s="448">
        <v>2100</v>
      </c>
      <c r="D71" s="449">
        <v>2282</v>
      </c>
      <c r="S71" s="216" t="s">
        <v>541</v>
      </c>
    </row>
    <row r="72" spans="1:19" x14ac:dyDescent="0.3">
      <c r="A72" s="446" t="s">
        <v>380</v>
      </c>
      <c r="B72" s="447" t="s">
        <v>813</v>
      </c>
      <c r="C72" s="448">
        <v>2100</v>
      </c>
      <c r="D72" s="449">
        <v>2282</v>
      </c>
      <c r="S72" s="216" t="s">
        <v>543</v>
      </c>
    </row>
    <row r="73" spans="1:19" x14ac:dyDescent="0.3">
      <c r="A73" s="446" t="s">
        <v>381</v>
      </c>
      <c r="B73" s="447" t="s">
        <v>813</v>
      </c>
      <c r="C73" s="448">
        <v>2100</v>
      </c>
      <c r="D73" s="449">
        <v>2282</v>
      </c>
      <c r="S73" s="216" t="s">
        <v>541</v>
      </c>
    </row>
    <row r="74" spans="1:19" x14ac:dyDescent="0.3">
      <c r="A74" s="446" t="s">
        <v>382</v>
      </c>
      <c r="B74" s="447" t="s">
        <v>813</v>
      </c>
      <c r="C74" s="448">
        <v>2100</v>
      </c>
      <c r="D74" s="449">
        <v>2282</v>
      </c>
      <c r="S74" s="216" t="s">
        <v>538</v>
      </c>
    </row>
    <row r="75" spans="1:19" x14ac:dyDescent="0.3">
      <c r="A75" s="446" t="s">
        <v>383</v>
      </c>
      <c r="B75" s="447" t="s">
        <v>813</v>
      </c>
      <c r="C75" s="448">
        <v>2100</v>
      </c>
      <c r="D75" s="449">
        <v>2282</v>
      </c>
      <c r="S75" s="216" t="s">
        <v>538</v>
      </c>
    </row>
    <row r="76" spans="1:19" x14ac:dyDescent="0.3">
      <c r="A76" s="446" t="s">
        <v>384</v>
      </c>
      <c r="B76" s="447" t="s">
        <v>813</v>
      </c>
      <c r="C76" s="448">
        <v>2100</v>
      </c>
      <c r="D76" s="449">
        <v>2282</v>
      </c>
      <c r="S76" s="216" t="s">
        <v>475</v>
      </c>
    </row>
    <row r="77" spans="1:19" x14ac:dyDescent="0.3">
      <c r="A77" s="446" t="s">
        <v>385</v>
      </c>
      <c r="B77" s="447" t="s">
        <v>813</v>
      </c>
      <c r="C77" s="448">
        <v>2100</v>
      </c>
      <c r="D77" s="449">
        <v>2282</v>
      </c>
      <c r="S77" s="216" t="s">
        <v>538</v>
      </c>
    </row>
    <row r="78" spans="1:19" x14ac:dyDescent="0.3">
      <c r="A78" s="446" t="s">
        <v>386</v>
      </c>
      <c r="B78" s="447" t="s">
        <v>813</v>
      </c>
      <c r="C78" s="448">
        <v>2100</v>
      </c>
      <c r="D78" s="449">
        <v>2282</v>
      </c>
      <c r="S78" s="216" t="s">
        <v>541</v>
      </c>
    </row>
    <row r="79" spans="1:19" x14ac:dyDescent="0.3">
      <c r="A79" s="446" t="s">
        <v>387</v>
      </c>
      <c r="B79" s="447" t="s">
        <v>813</v>
      </c>
      <c r="C79" s="448">
        <v>2100</v>
      </c>
      <c r="D79" s="449">
        <v>2282</v>
      </c>
      <c r="S79" s="216" t="s">
        <v>539</v>
      </c>
    </row>
    <row r="80" spans="1:19" x14ac:dyDescent="0.3">
      <c r="A80" s="446" t="s">
        <v>388</v>
      </c>
      <c r="B80" s="447" t="s">
        <v>813</v>
      </c>
      <c r="C80" s="448">
        <v>2100</v>
      </c>
      <c r="D80" s="449">
        <v>2282</v>
      </c>
      <c r="S80" s="216" t="s">
        <v>539</v>
      </c>
    </row>
    <row r="81" spans="1:19" x14ac:dyDescent="0.3">
      <c r="A81" s="446" t="s">
        <v>389</v>
      </c>
      <c r="B81" s="447" t="s">
        <v>813</v>
      </c>
      <c r="C81" s="448">
        <v>2100</v>
      </c>
      <c r="D81" s="449">
        <v>2282</v>
      </c>
      <c r="S81" s="216" t="s">
        <v>543</v>
      </c>
    </row>
    <row r="82" spans="1:19" x14ac:dyDescent="0.3">
      <c r="A82" s="446" t="s">
        <v>390</v>
      </c>
      <c r="B82" s="447" t="s">
        <v>813</v>
      </c>
      <c r="C82" s="448">
        <v>2100</v>
      </c>
      <c r="D82" s="449">
        <v>2282</v>
      </c>
      <c r="S82" s="216" t="s">
        <v>540</v>
      </c>
    </row>
    <row r="83" spans="1:19" x14ac:dyDescent="0.3">
      <c r="A83" s="446" t="s">
        <v>391</v>
      </c>
      <c r="B83" s="447" t="s">
        <v>813</v>
      </c>
      <c r="C83" s="448">
        <v>2100</v>
      </c>
      <c r="D83" s="449">
        <v>2282</v>
      </c>
      <c r="S83" s="216" t="s">
        <v>541</v>
      </c>
    </row>
    <row r="84" spans="1:19" x14ac:dyDescent="0.3">
      <c r="A84" s="446" t="s">
        <v>392</v>
      </c>
      <c r="B84" s="447" t="s">
        <v>813</v>
      </c>
      <c r="C84" s="448">
        <v>2100</v>
      </c>
      <c r="D84" s="449">
        <v>2282</v>
      </c>
      <c r="S84" s="216" t="s">
        <v>542</v>
      </c>
    </row>
    <row r="85" spans="1:19" x14ac:dyDescent="0.3">
      <c r="A85" s="446" t="s">
        <v>393</v>
      </c>
      <c r="B85" s="447" t="s">
        <v>813</v>
      </c>
      <c r="C85" s="448">
        <v>2100</v>
      </c>
      <c r="D85" s="449">
        <v>2282</v>
      </c>
      <c r="S85" s="216" t="s">
        <v>542</v>
      </c>
    </row>
    <row r="86" spans="1:19" x14ac:dyDescent="0.3">
      <c r="A86" s="446" t="s">
        <v>394</v>
      </c>
      <c r="B86" s="447" t="s">
        <v>813</v>
      </c>
      <c r="C86" s="448">
        <v>2100</v>
      </c>
      <c r="D86" s="449">
        <v>2282</v>
      </c>
      <c r="S86" s="216" t="s">
        <v>539</v>
      </c>
    </row>
    <row r="87" spans="1:19" x14ac:dyDescent="0.3">
      <c r="A87" s="446" t="s">
        <v>395</v>
      </c>
      <c r="B87" s="447" t="s">
        <v>813</v>
      </c>
      <c r="C87" s="448">
        <v>2100</v>
      </c>
      <c r="D87" s="449">
        <v>2282</v>
      </c>
      <c r="S87" s="216" t="s">
        <v>542</v>
      </c>
    </row>
    <row r="88" spans="1:19" x14ac:dyDescent="0.3">
      <c r="A88" s="446" t="s">
        <v>396</v>
      </c>
      <c r="B88" s="447" t="s">
        <v>813</v>
      </c>
      <c r="C88" s="448">
        <v>2100</v>
      </c>
      <c r="D88" s="449">
        <v>2282</v>
      </c>
      <c r="S88" s="216" t="s">
        <v>542</v>
      </c>
    </row>
    <row r="89" spans="1:19" x14ac:dyDescent="0.3">
      <c r="A89" s="446" t="s">
        <v>397</v>
      </c>
      <c r="B89" s="447" t="s">
        <v>813</v>
      </c>
      <c r="C89" s="448">
        <v>2100</v>
      </c>
      <c r="D89" s="449">
        <v>2282</v>
      </c>
      <c r="S89" s="216" t="s">
        <v>542</v>
      </c>
    </row>
    <row r="90" spans="1:19" x14ac:dyDescent="0.3">
      <c r="A90" s="446" t="s">
        <v>398</v>
      </c>
      <c r="B90" s="447" t="s">
        <v>813</v>
      </c>
      <c r="C90" s="448">
        <v>2100</v>
      </c>
      <c r="D90" s="449">
        <v>2282</v>
      </c>
      <c r="S90" s="216" t="s">
        <v>538</v>
      </c>
    </row>
    <row r="91" spans="1:19" x14ac:dyDescent="0.3">
      <c r="A91" s="446" t="s">
        <v>399</v>
      </c>
      <c r="B91" s="447" t="s">
        <v>813</v>
      </c>
      <c r="C91" s="448">
        <v>2100</v>
      </c>
      <c r="D91" s="449">
        <v>2282</v>
      </c>
      <c r="S91" s="216" t="s">
        <v>540</v>
      </c>
    </row>
    <row r="92" spans="1:19" x14ac:dyDescent="0.3">
      <c r="A92" s="446" t="s">
        <v>400</v>
      </c>
      <c r="B92" s="447" t="s">
        <v>813</v>
      </c>
      <c r="C92" s="448">
        <v>2100</v>
      </c>
      <c r="D92" s="449">
        <v>2282</v>
      </c>
      <c r="S92" s="216" t="s">
        <v>539</v>
      </c>
    </row>
    <row r="93" spans="1:19" x14ac:dyDescent="0.3">
      <c r="A93" s="446" t="s">
        <v>401</v>
      </c>
      <c r="B93" s="447" t="s">
        <v>813</v>
      </c>
      <c r="C93" s="448">
        <v>2100</v>
      </c>
      <c r="D93" s="449">
        <v>2282</v>
      </c>
      <c r="S93" s="216" t="s">
        <v>538</v>
      </c>
    </row>
    <row r="94" spans="1:19" x14ac:dyDescent="0.3">
      <c r="A94" s="446" t="s">
        <v>402</v>
      </c>
      <c r="B94" s="447" t="s">
        <v>813</v>
      </c>
      <c r="C94" s="448">
        <v>2100</v>
      </c>
      <c r="D94" s="449">
        <v>2282</v>
      </c>
      <c r="S94" s="216" t="s">
        <v>543</v>
      </c>
    </row>
    <row r="95" spans="1:19" x14ac:dyDescent="0.3">
      <c r="A95" s="446" t="s">
        <v>819</v>
      </c>
      <c r="B95" s="447" t="s">
        <v>813</v>
      </c>
      <c r="C95" s="448">
        <v>2100</v>
      </c>
      <c r="D95" s="449">
        <v>2282</v>
      </c>
      <c r="S95" s="216" t="s">
        <v>538</v>
      </c>
    </row>
    <row r="96" spans="1:19" x14ac:dyDescent="0.3">
      <c r="A96" s="446" t="s">
        <v>403</v>
      </c>
      <c r="B96" s="447" t="s">
        <v>813</v>
      </c>
      <c r="C96" s="448">
        <v>2100</v>
      </c>
      <c r="D96" s="449">
        <v>2282</v>
      </c>
      <c r="S96" s="216" t="s">
        <v>538</v>
      </c>
    </row>
    <row r="97" spans="1:19" x14ac:dyDescent="0.3">
      <c r="A97" s="446" t="s">
        <v>404</v>
      </c>
      <c r="B97" s="447" t="s">
        <v>813</v>
      </c>
      <c r="C97" s="448">
        <v>2100</v>
      </c>
      <c r="D97" s="449">
        <v>2282</v>
      </c>
      <c r="S97" s="216" t="s">
        <v>541</v>
      </c>
    </row>
    <row r="98" spans="1:19" x14ac:dyDescent="0.3">
      <c r="A98" s="446" t="s">
        <v>405</v>
      </c>
      <c r="B98" s="447" t="s">
        <v>813</v>
      </c>
      <c r="C98" s="448">
        <v>2100</v>
      </c>
      <c r="D98" s="449">
        <v>2282</v>
      </c>
      <c r="S98" s="216" t="s">
        <v>538</v>
      </c>
    </row>
    <row r="99" spans="1:19" x14ac:dyDescent="0.3">
      <c r="A99" s="446" t="s">
        <v>406</v>
      </c>
      <c r="B99" s="447" t="s">
        <v>813</v>
      </c>
      <c r="C99" s="448">
        <v>2100</v>
      </c>
      <c r="D99" s="449">
        <v>2282</v>
      </c>
      <c r="S99" s="216" t="s">
        <v>539</v>
      </c>
    </row>
    <row r="100" spans="1:19" x14ac:dyDescent="0.3">
      <c r="A100" s="446" t="s">
        <v>407</v>
      </c>
      <c r="B100" s="447" t="s">
        <v>813</v>
      </c>
      <c r="C100" s="448">
        <v>2100</v>
      </c>
      <c r="D100" s="449">
        <v>2282</v>
      </c>
      <c r="S100" s="216" t="s">
        <v>538</v>
      </c>
    </row>
    <row r="101" spans="1:19" x14ac:dyDescent="0.3">
      <c r="A101" s="446" t="s">
        <v>408</v>
      </c>
      <c r="B101" s="447" t="s">
        <v>813</v>
      </c>
      <c r="C101" s="448">
        <v>2100</v>
      </c>
      <c r="D101" s="449">
        <v>2282</v>
      </c>
      <c r="S101" s="216" t="s">
        <v>542</v>
      </c>
    </row>
    <row r="102" spans="1:19" x14ac:dyDescent="0.3">
      <c r="A102" s="446" t="s">
        <v>409</v>
      </c>
      <c r="B102" s="447" t="s">
        <v>813</v>
      </c>
      <c r="C102" s="448">
        <v>2100</v>
      </c>
      <c r="D102" s="449">
        <v>2282</v>
      </c>
      <c r="S102" s="216" t="s">
        <v>539</v>
      </c>
    </row>
    <row r="103" spans="1:19" x14ac:dyDescent="0.3">
      <c r="A103" s="446" t="s">
        <v>410</v>
      </c>
      <c r="B103" s="447" t="s">
        <v>813</v>
      </c>
      <c r="C103" s="448">
        <v>2100</v>
      </c>
      <c r="D103" s="449">
        <v>2282</v>
      </c>
      <c r="S103" s="216" t="s">
        <v>542</v>
      </c>
    </row>
    <row r="104" spans="1:19" x14ac:dyDescent="0.3">
      <c r="A104" s="446" t="s">
        <v>411</v>
      </c>
      <c r="B104" s="447" t="s">
        <v>813</v>
      </c>
      <c r="C104" s="448">
        <v>2100</v>
      </c>
      <c r="D104" s="449">
        <v>2282</v>
      </c>
      <c r="S104" s="216" t="s">
        <v>539</v>
      </c>
    </row>
    <row r="105" spans="1:19" x14ac:dyDescent="0.3">
      <c r="A105" s="446" t="s">
        <v>412</v>
      </c>
      <c r="B105" s="447" t="s">
        <v>813</v>
      </c>
      <c r="C105" s="448">
        <v>2100</v>
      </c>
      <c r="D105" s="449">
        <v>2282</v>
      </c>
      <c r="S105" s="216" t="s">
        <v>541</v>
      </c>
    </row>
    <row r="106" spans="1:19" x14ac:dyDescent="0.3">
      <c r="A106" s="446" t="s">
        <v>413</v>
      </c>
      <c r="B106" s="447" t="s">
        <v>813</v>
      </c>
      <c r="C106" s="448">
        <v>2100</v>
      </c>
      <c r="D106" s="449">
        <v>2282</v>
      </c>
      <c r="S106" s="216" t="s">
        <v>539</v>
      </c>
    </row>
    <row r="107" spans="1:19" x14ac:dyDescent="0.3">
      <c r="A107" s="446" t="s">
        <v>414</v>
      </c>
      <c r="B107" s="447" t="s">
        <v>813</v>
      </c>
      <c r="C107" s="448">
        <v>2100</v>
      </c>
      <c r="D107" s="449">
        <v>2282</v>
      </c>
      <c r="S107" s="216" t="s">
        <v>538</v>
      </c>
    </row>
    <row r="108" spans="1:19" x14ac:dyDescent="0.3">
      <c r="A108" s="446" t="s">
        <v>415</v>
      </c>
      <c r="B108" s="447" t="s">
        <v>813</v>
      </c>
      <c r="C108" s="448">
        <v>2100</v>
      </c>
      <c r="D108" s="449">
        <v>2282</v>
      </c>
      <c r="S108" s="216" t="s">
        <v>542</v>
      </c>
    </row>
    <row r="109" spans="1:19" x14ac:dyDescent="0.3">
      <c r="A109" s="446" t="s">
        <v>416</v>
      </c>
      <c r="B109" s="447" t="s">
        <v>813</v>
      </c>
      <c r="C109" s="448">
        <v>2100</v>
      </c>
      <c r="D109" s="449">
        <v>2282</v>
      </c>
      <c r="S109" s="216" t="s">
        <v>540</v>
      </c>
    </row>
    <row r="110" spans="1:19" x14ac:dyDescent="0.3">
      <c r="A110" s="446" t="s">
        <v>417</v>
      </c>
      <c r="B110" s="447" t="s">
        <v>813</v>
      </c>
      <c r="C110" s="448">
        <v>2100</v>
      </c>
      <c r="D110" s="449">
        <v>2282</v>
      </c>
      <c r="S110" s="216" t="s">
        <v>475</v>
      </c>
    </row>
    <row r="111" spans="1:19" x14ac:dyDescent="0.3">
      <c r="A111" s="446" t="s">
        <v>418</v>
      </c>
      <c r="B111" s="447" t="s">
        <v>813</v>
      </c>
      <c r="C111" s="448">
        <v>2100</v>
      </c>
      <c r="D111" s="449">
        <v>2282</v>
      </c>
      <c r="S111" s="216" t="s">
        <v>539</v>
      </c>
    </row>
    <row r="112" spans="1:19" x14ac:dyDescent="0.3">
      <c r="A112" s="446" t="s">
        <v>419</v>
      </c>
      <c r="B112" s="447" t="s">
        <v>813</v>
      </c>
      <c r="C112" s="448">
        <v>2100</v>
      </c>
      <c r="D112" s="449">
        <v>2282</v>
      </c>
      <c r="S112" s="216" t="s">
        <v>541</v>
      </c>
    </row>
    <row r="113" spans="1:19" x14ac:dyDescent="0.3">
      <c r="A113" s="446" t="s">
        <v>420</v>
      </c>
      <c r="B113" s="447" t="s">
        <v>813</v>
      </c>
      <c r="C113" s="448">
        <v>2100</v>
      </c>
      <c r="D113" s="449">
        <v>2282</v>
      </c>
      <c r="S113" s="216" t="s">
        <v>538</v>
      </c>
    </row>
    <row r="114" spans="1:19" x14ac:dyDescent="0.3">
      <c r="A114" s="446" t="s">
        <v>421</v>
      </c>
      <c r="B114" s="447" t="s">
        <v>813</v>
      </c>
      <c r="C114" s="448">
        <v>2100</v>
      </c>
      <c r="D114" s="449">
        <v>2282</v>
      </c>
      <c r="S114" s="216" t="s">
        <v>539</v>
      </c>
    </row>
    <row r="115" spans="1:19" x14ac:dyDescent="0.3">
      <c r="A115" s="446" t="s">
        <v>422</v>
      </c>
      <c r="B115" s="447" t="s">
        <v>813</v>
      </c>
      <c r="C115" s="448">
        <v>2100</v>
      </c>
      <c r="D115" s="449">
        <v>2282</v>
      </c>
      <c r="S115" s="216" t="s">
        <v>539</v>
      </c>
    </row>
    <row r="116" spans="1:19" x14ac:dyDescent="0.3">
      <c r="A116" s="446" t="s">
        <v>423</v>
      </c>
      <c r="B116" s="447" t="s">
        <v>813</v>
      </c>
      <c r="C116" s="448">
        <v>2100</v>
      </c>
      <c r="D116" s="449">
        <v>2282</v>
      </c>
      <c r="S116" s="216" t="s">
        <v>538</v>
      </c>
    </row>
    <row r="117" spans="1:19" x14ac:dyDescent="0.3">
      <c r="A117" s="446" t="s">
        <v>424</v>
      </c>
      <c r="B117" s="447" t="s">
        <v>813</v>
      </c>
      <c r="C117" s="448">
        <v>2100</v>
      </c>
      <c r="D117" s="449">
        <v>2282</v>
      </c>
      <c r="S117" s="216" t="s">
        <v>539</v>
      </c>
    </row>
    <row r="118" spans="1:19" x14ac:dyDescent="0.3">
      <c r="A118" s="446" t="s">
        <v>425</v>
      </c>
      <c r="B118" s="447" t="s">
        <v>813</v>
      </c>
      <c r="C118" s="448">
        <v>2100</v>
      </c>
      <c r="D118" s="449">
        <v>2282</v>
      </c>
      <c r="S118" s="216" t="s">
        <v>541</v>
      </c>
    </row>
    <row r="119" spans="1:19" x14ac:dyDescent="0.3">
      <c r="A119" s="446" t="s">
        <v>426</v>
      </c>
      <c r="B119" s="447" t="s">
        <v>813</v>
      </c>
      <c r="C119" s="448">
        <v>2100</v>
      </c>
      <c r="D119" s="449">
        <v>2282</v>
      </c>
      <c r="S119" s="216" t="s">
        <v>538</v>
      </c>
    </row>
    <row r="120" spans="1:19" x14ac:dyDescent="0.3">
      <c r="A120" s="446" t="s">
        <v>427</v>
      </c>
      <c r="B120" s="447" t="s">
        <v>813</v>
      </c>
      <c r="C120" s="448">
        <v>2100</v>
      </c>
      <c r="D120" s="449">
        <v>2282</v>
      </c>
      <c r="S120" s="216" t="s">
        <v>539</v>
      </c>
    </row>
    <row r="121" spans="1:19" x14ac:dyDescent="0.3">
      <c r="A121" s="446" t="s">
        <v>428</v>
      </c>
      <c r="B121" s="447" t="s">
        <v>813</v>
      </c>
      <c r="C121" s="448">
        <v>2100</v>
      </c>
      <c r="D121" s="449">
        <v>2282</v>
      </c>
      <c r="S121" s="216" t="s">
        <v>539</v>
      </c>
    </row>
    <row r="122" spans="1:19" x14ac:dyDescent="0.3">
      <c r="A122" s="446" t="s">
        <v>429</v>
      </c>
      <c r="B122" s="447" t="s">
        <v>813</v>
      </c>
      <c r="C122" s="448">
        <v>2100</v>
      </c>
      <c r="D122" s="449">
        <v>2282</v>
      </c>
      <c r="S122" s="216" t="s">
        <v>543</v>
      </c>
    </row>
    <row r="123" spans="1:19" x14ac:dyDescent="0.3">
      <c r="A123" s="446" t="s">
        <v>430</v>
      </c>
      <c r="B123" s="447" t="s">
        <v>813</v>
      </c>
      <c r="C123" s="448">
        <v>2100</v>
      </c>
      <c r="D123" s="449">
        <v>2282</v>
      </c>
      <c r="S123" s="216" t="s">
        <v>541</v>
      </c>
    </row>
    <row r="124" spans="1:19" x14ac:dyDescent="0.3">
      <c r="A124" s="446" t="s">
        <v>431</v>
      </c>
      <c r="B124" s="447" t="s">
        <v>813</v>
      </c>
      <c r="C124" s="448">
        <v>2100</v>
      </c>
      <c r="D124" s="449">
        <v>2282</v>
      </c>
      <c r="S124" s="216" t="s">
        <v>538</v>
      </c>
    </row>
    <row r="125" spans="1:19" x14ac:dyDescent="0.3">
      <c r="A125" s="446" t="s">
        <v>432</v>
      </c>
      <c r="B125" s="447" t="s">
        <v>813</v>
      </c>
      <c r="C125" s="448">
        <v>2100</v>
      </c>
      <c r="D125" s="449">
        <v>2282</v>
      </c>
      <c r="S125" s="216" t="s">
        <v>538</v>
      </c>
    </row>
    <row r="126" spans="1:19" x14ac:dyDescent="0.3">
      <c r="A126" s="446" t="s">
        <v>433</v>
      </c>
      <c r="B126" s="447" t="s">
        <v>813</v>
      </c>
      <c r="C126" s="448">
        <v>2100</v>
      </c>
      <c r="D126" s="449">
        <v>2282</v>
      </c>
      <c r="S126" s="216" t="s">
        <v>538</v>
      </c>
    </row>
    <row r="127" spans="1:19" x14ac:dyDescent="0.3">
      <c r="A127" s="446" t="s">
        <v>434</v>
      </c>
      <c r="B127" s="447" t="s">
        <v>813</v>
      </c>
      <c r="C127" s="448">
        <v>2100</v>
      </c>
      <c r="D127" s="449">
        <v>2282</v>
      </c>
      <c r="S127" s="216" t="s">
        <v>539</v>
      </c>
    </row>
    <row r="128" spans="1:19" x14ac:dyDescent="0.3">
      <c r="A128" s="446" t="s">
        <v>435</v>
      </c>
      <c r="B128" s="447" t="s">
        <v>813</v>
      </c>
      <c r="C128" s="448">
        <v>2100</v>
      </c>
      <c r="D128" s="449">
        <v>2282</v>
      </c>
      <c r="S128" s="216" t="s">
        <v>541</v>
      </c>
    </row>
    <row r="129" spans="1:19" x14ac:dyDescent="0.3">
      <c r="A129" s="446" t="s">
        <v>436</v>
      </c>
      <c r="B129" s="447" t="s">
        <v>813</v>
      </c>
      <c r="C129" s="448">
        <v>2100</v>
      </c>
      <c r="D129" s="449">
        <v>2282</v>
      </c>
      <c r="S129" s="216" t="s">
        <v>475</v>
      </c>
    </row>
    <row r="130" spans="1:19" x14ac:dyDescent="0.3">
      <c r="A130" s="446" t="s">
        <v>437</v>
      </c>
      <c r="B130" s="447" t="s">
        <v>813</v>
      </c>
      <c r="C130" s="448">
        <v>2100</v>
      </c>
      <c r="D130" s="449">
        <v>2282</v>
      </c>
      <c r="S130" s="216" t="s">
        <v>539</v>
      </c>
    </row>
    <row r="131" spans="1:19" x14ac:dyDescent="0.3">
      <c r="A131" s="446" t="s">
        <v>438</v>
      </c>
      <c r="B131" s="447" t="s">
        <v>813</v>
      </c>
      <c r="C131" s="448">
        <v>2100</v>
      </c>
      <c r="D131" s="449">
        <v>2282</v>
      </c>
      <c r="S131" s="216" t="s">
        <v>540</v>
      </c>
    </row>
    <row r="132" spans="1:19" x14ac:dyDescent="0.3">
      <c r="A132" s="446" t="s">
        <v>439</v>
      </c>
      <c r="B132" s="447" t="s">
        <v>813</v>
      </c>
      <c r="C132" s="448">
        <v>2100</v>
      </c>
      <c r="D132" s="449">
        <v>2282</v>
      </c>
      <c r="S132" s="216" t="s">
        <v>540</v>
      </c>
    </row>
    <row r="133" spans="1:19" x14ac:dyDescent="0.3">
      <c r="A133" s="446" t="s">
        <v>440</v>
      </c>
      <c r="B133" s="447" t="s">
        <v>813</v>
      </c>
      <c r="C133" s="448">
        <v>2100</v>
      </c>
      <c r="D133" s="449">
        <v>2282</v>
      </c>
      <c r="S133" s="216" t="s">
        <v>542</v>
      </c>
    </row>
    <row r="134" spans="1:19" x14ac:dyDescent="0.3">
      <c r="A134" s="446" t="s">
        <v>441</v>
      </c>
      <c r="B134" s="447" t="s">
        <v>813</v>
      </c>
      <c r="C134" s="448">
        <v>2100</v>
      </c>
      <c r="D134" s="449">
        <v>2282</v>
      </c>
      <c r="S134" s="216" t="s">
        <v>543</v>
      </c>
    </row>
    <row r="135" spans="1:19" x14ac:dyDescent="0.3">
      <c r="A135" s="446" t="s">
        <v>442</v>
      </c>
      <c r="B135" s="447" t="s">
        <v>813</v>
      </c>
      <c r="C135" s="448">
        <v>2100</v>
      </c>
      <c r="D135" s="449">
        <v>2282</v>
      </c>
      <c r="S135" s="216" t="s">
        <v>542</v>
      </c>
    </row>
    <row r="136" spans="1:19" x14ac:dyDescent="0.3">
      <c r="A136" s="446" t="s">
        <v>443</v>
      </c>
      <c r="B136" s="447" t="s">
        <v>813</v>
      </c>
      <c r="C136" s="448">
        <v>2100</v>
      </c>
      <c r="D136" s="449">
        <v>2282</v>
      </c>
      <c r="S136" s="216" t="s">
        <v>543</v>
      </c>
    </row>
    <row r="137" spans="1:19" x14ac:dyDescent="0.3">
      <c r="A137" s="446" t="s">
        <v>444</v>
      </c>
      <c r="B137" s="447" t="s">
        <v>813</v>
      </c>
      <c r="C137" s="448">
        <v>2100</v>
      </c>
      <c r="D137" s="449">
        <v>2282</v>
      </c>
      <c r="S137" s="216" t="s">
        <v>541</v>
      </c>
    </row>
    <row r="138" spans="1:19" x14ac:dyDescent="0.3">
      <c r="A138" s="446" t="s">
        <v>445</v>
      </c>
      <c r="B138" s="447" t="s">
        <v>813</v>
      </c>
      <c r="C138" s="448">
        <v>2100</v>
      </c>
      <c r="D138" s="449">
        <v>2282</v>
      </c>
      <c r="S138" s="216" t="s">
        <v>538</v>
      </c>
    </row>
    <row r="139" spans="1:19" x14ac:dyDescent="0.3">
      <c r="A139" s="446" t="s">
        <v>446</v>
      </c>
      <c r="B139" s="447" t="s">
        <v>813</v>
      </c>
      <c r="C139" s="448">
        <v>2100</v>
      </c>
      <c r="D139" s="449">
        <v>2282</v>
      </c>
      <c r="S139" s="216" t="s">
        <v>542</v>
      </c>
    </row>
    <row r="140" spans="1:19" x14ac:dyDescent="0.3">
      <c r="A140" s="446" t="s">
        <v>447</v>
      </c>
      <c r="B140" s="447" t="s">
        <v>813</v>
      </c>
      <c r="C140" s="448">
        <v>2100</v>
      </c>
      <c r="D140" s="449">
        <v>2282</v>
      </c>
      <c r="S140" s="216" t="s">
        <v>539</v>
      </c>
    </row>
    <row r="141" spans="1:19" x14ac:dyDescent="0.3">
      <c r="A141" s="446" t="s">
        <v>448</v>
      </c>
      <c r="B141" s="447" t="s">
        <v>813</v>
      </c>
      <c r="C141" s="448">
        <v>2100</v>
      </c>
      <c r="D141" s="449">
        <v>2282</v>
      </c>
      <c r="S141" s="216" t="s">
        <v>542</v>
      </c>
    </row>
    <row r="142" spans="1:19" x14ac:dyDescent="0.3">
      <c r="A142" s="446" t="s">
        <v>449</v>
      </c>
      <c r="B142" s="447" t="s">
        <v>813</v>
      </c>
      <c r="C142" s="448">
        <v>2100</v>
      </c>
      <c r="D142" s="449">
        <v>2282</v>
      </c>
      <c r="S142" s="216" t="s">
        <v>541</v>
      </c>
    </row>
    <row r="143" spans="1:19" x14ac:dyDescent="0.3">
      <c r="A143" s="446" t="s">
        <v>450</v>
      </c>
      <c r="B143" s="447" t="s">
        <v>813</v>
      </c>
      <c r="C143" s="448">
        <v>2100</v>
      </c>
      <c r="D143" s="449">
        <v>2282</v>
      </c>
      <c r="S143" s="216" t="s">
        <v>543</v>
      </c>
    </row>
    <row r="144" spans="1:19" x14ac:dyDescent="0.3">
      <c r="A144" s="446" t="s">
        <v>451</v>
      </c>
      <c r="B144" s="447" t="s">
        <v>813</v>
      </c>
      <c r="C144" s="448">
        <v>2100</v>
      </c>
      <c r="D144" s="449">
        <v>2282</v>
      </c>
      <c r="S144" s="216" t="s">
        <v>541</v>
      </c>
    </row>
    <row r="145" spans="1:19" x14ac:dyDescent="0.3">
      <c r="A145" s="446" t="s">
        <v>452</v>
      </c>
      <c r="B145" s="447" t="s">
        <v>813</v>
      </c>
      <c r="C145" s="448">
        <v>2100</v>
      </c>
      <c r="D145" s="449">
        <v>2282</v>
      </c>
      <c r="S145" s="216" t="s">
        <v>538</v>
      </c>
    </row>
    <row r="146" spans="1:19" x14ac:dyDescent="0.3">
      <c r="A146" s="446" t="s">
        <v>453</v>
      </c>
      <c r="B146" s="447" t="s">
        <v>813</v>
      </c>
      <c r="C146" s="448">
        <v>2100</v>
      </c>
      <c r="D146" s="449">
        <v>2282</v>
      </c>
      <c r="S146" s="216" t="s">
        <v>542</v>
      </c>
    </row>
    <row r="147" spans="1:19" x14ac:dyDescent="0.3">
      <c r="A147" s="446" t="s">
        <v>454</v>
      </c>
      <c r="B147" s="447" t="s">
        <v>813</v>
      </c>
      <c r="C147" s="448">
        <v>2100</v>
      </c>
      <c r="D147" s="449">
        <v>2282</v>
      </c>
      <c r="S147" s="216" t="s">
        <v>542</v>
      </c>
    </row>
    <row r="148" spans="1:19" x14ac:dyDescent="0.3">
      <c r="A148" s="446" t="s">
        <v>455</v>
      </c>
      <c r="B148" s="447" t="s">
        <v>813</v>
      </c>
      <c r="C148" s="448">
        <v>2100</v>
      </c>
      <c r="D148" s="449">
        <v>2282</v>
      </c>
      <c r="S148" s="216" t="s">
        <v>542</v>
      </c>
    </row>
    <row r="149" spans="1:19" x14ac:dyDescent="0.3">
      <c r="A149" s="446" t="s">
        <v>456</v>
      </c>
      <c r="B149" s="447" t="s">
        <v>813</v>
      </c>
      <c r="C149" s="448">
        <v>2100</v>
      </c>
      <c r="D149" s="449">
        <v>2282</v>
      </c>
      <c r="S149" s="216" t="s">
        <v>540</v>
      </c>
    </row>
    <row r="150" spans="1:19" x14ac:dyDescent="0.3">
      <c r="A150" s="446" t="s">
        <v>457</v>
      </c>
      <c r="B150" s="447" t="s">
        <v>813</v>
      </c>
      <c r="C150" s="448">
        <v>2100</v>
      </c>
      <c r="D150" s="449">
        <v>2282</v>
      </c>
      <c r="S150" s="216" t="s">
        <v>542</v>
      </c>
    </row>
    <row r="151" spans="1:19" x14ac:dyDescent="0.3">
      <c r="A151" s="446" t="s">
        <v>458</v>
      </c>
      <c r="B151" s="447" t="s">
        <v>813</v>
      </c>
      <c r="C151" s="448">
        <v>2100</v>
      </c>
      <c r="D151" s="449">
        <v>2282</v>
      </c>
      <c r="S151" s="216" t="s">
        <v>539</v>
      </c>
    </row>
    <row r="152" spans="1:19" x14ac:dyDescent="0.3">
      <c r="A152" s="446" t="s">
        <v>459</v>
      </c>
      <c r="B152" s="447" t="s">
        <v>813</v>
      </c>
      <c r="C152" s="448">
        <v>2100</v>
      </c>
      <c r="D152" s="449">
        <v>2282</v>
      </c>
      <c r="S152" s="216" t="s">
        <v>538</v>
      </c>
    </row>
    <row r="153" spans="1:19" x14ac:dyDescent="0.3">
      <c r="A153" s="446" t="s">
        <v>460</v>
      </c>
      <c r="B153" s="447" t="s">
        <v>813</v>
      </c>
      <c r="C153" s="448">
        <v>2100</v>
      </c>
      <c r="D153" s="449">
        <v>2282</v>
      </c>
      <c r="S153" s="216" t="s">
        <v>542</v>
      </c>
    </row>
    <row r="154" spans="1:19" x14ac:dyDescent="0.3">
      <c r="A154" s="446" t="s">
        <v>461</v>
      </c>
      <c r="B154" s="447" t="s">
        <v>813</v>
      </c>
      <c r="C154" s="448">
        <v>2100</v>
      </c>
      <c r="D154" s="449">
        <v>2282</v>
      </c>
      <c r="S154" s="216" t="s">
        <v>539</v>
      </c>
    </row>
    <row r="155" spans="1:19" x14ac:dyDescent="0.3">
      <c r="A155" s="446" t="s">
        <v>462</v>
      </c>
      <c r="B155" s="447" t="s">
        <v>813</v>
      </c>
      <c r="C155" s="448">
        <v>2100</v>
      </c>
      <c r="D155" s="449">
        <v>2282</v>
      </c>
      <c r="S155" s="216" t="s">
        <v>475</v>
      </c>
    </row>
    <row r="156" spans="1:19" x14ac:dyDescent="0.3">
      <c r="A156" s="446" t="s">
        <v>463</v>
      </c>
      <c r="B156" s="447" t="s">
        <v>813</v>
      </c>
      <c r="C156" s="448">
        <v>2100</v>
      </c>
      <c r="D156" s="449">
        <v>2282</v>
      </c>
      <c r="S156" s="216" t="s">
        <v>542</v>
      </c>
    </row>
    <row r="157" spans="1:19" x14ac:dyDescent="0.3">
      <c r="A157" s="446" t="s">
        <v>464</v>
      </c>
      <c r="B157" s="447" t="s">
        <v>813</v>
      </c>
      <c r="C157" s="448">
        <v>2100</v>
      </c>
      <c r="D157" s="449">
        <v>2282</v>
      </c>
      <c r="S157" s="216" t="s">
        <v>543</v>
      </c>
    </row>
    <row r="158" spans="1:19" x14ac:dyDescent="0.3">
      <c r="A158" s="446" t="s">
        <v>465</v>
      </c>
      <c r="B158" s="447" t="s">
        <v>813</v>
      </c>
      <c r="C158" s="448">
        <v>2100</v>
      </c>
      <c r="D158" s="449">
        <v>2282</v>
      </c>
      <c r="S158" s="216" t="s">
        <v>538</v>
      </c>
    </row>
    <row r="159" spans="1:19" x14ac:dyDescent="0.3">
      <c r="A159" s="446" t="s">
        <v>466</v>
      </c>
      <c r="B159" s="447" t="s">
        <v>813</v>
      </c>
      <c r="C159" s="448">
        <v>2100</v>
      </c>
      <c r="D159" s="449">
        <v>2282</v>
      </c>
      <c r="S159" s="216" t="s">
        <v>543</v>
      </c>
    </row>
    <row r="160" spans="1:19" x14ac:dyDescent="0.3">
      <c r="A160" s="446" t="s">
        <v>467</v>
      </c>
      <c r="B160" s="447" t="s">
        <v>813</v>
      </c>
      <c r="C160" s="448">
        <v>2100</v>
      </c>
      <c r="D160" s="449">
        <v>2282</v>
      </c>
      <c r="S160" s="216" t="s">
        <v>539</v>
      </c>
    </row>
    <row r="161" spans="1:23" x14ac:dyDescent="0.3">
      <c r="A161" s="446" t="s">
        <v>468</v>
      </c>
      <c r="B161" s="447" t="s">
        <v>813</v>
      </c>
      <c r="C161" s="448">
        <v>2100</v>
      </c>
      <c r="D161" s="449">
        <v>2282</v>
      </c>
      <c r="S161" s="216" t="s">
        <v>541</v>
      </c>
    </row>
    <row r="162" spans="1:23" x14ac:dyDescent="0.3">
      <c r="A162" s="446" t="s">
        <v>469</v>
      </c>
      <c r="B162" s="447" t="s">
        <v>813</v>
      </c>
      <c r="C162" s="448">
        <v>2100</v>
      </c>
      <c r="D162" s="449">
        <v>2282</v>
      </c>
      <c r="S162" s="216" t="s">
        <v>539</v>
      </c>
    </row>
    <row r="163" spans="1:23" x14ac:dyDescent="0.3">
      <c r="A163" s="446" t="s">
        <v>470</v>
      </c>
      <c r="B163" s="447" t="s">
        <v>813</v>
      </c>
      <c r="C163" s="448">
        <v>2100</v>
      </c>
      <c r="D163" s="449">
        <v>2282</v>
      </c>
      <c r="S163" s="216" t="s">
        <v>543</v>
      </c>
    </row>
    <row r="164" spans="1:23" x14ac:dyDescent="0.3">
      <c r="A164" s="446" t="s">
        <v>471</v>
      </c>
      <c r="B164" s="447" t="s">
        <v>813</v>
      </c>
      <c r="C164" s="448">
        <v>2100</v>
      </c>
      <c r="D164" s="449">
        <v>2282</v>
      </c>
      <c r="S164" s="216" t="s">
        <v>539</v>
      </c>
    </row>
    <row r="165" spans="1:23" x14ac:dyDescent="0.3">
      <c r="A165" s="446" t="s">
        <v>472</v>
      </c>
      <c r="B165" s="447" t="s">
        <v>813</v>
      </c>
      <c r="C165" s="448">
        <v>2100</v>
      </c>
      <c r="D165" s="449">
        <v>2282</v>
      </c>
      <c r="S165" s="216" t="s">
        <v>538</v>
      </c>
    </row>
    <row r="166" spans="1:23" x14ac:dyDescent="0.3">
      <c r="A166" s="446" t="s">
        <v>473</v>
      </c>
      <c r="B166" s="447" t="s">
        <v>813</v>
      </c>
      <c r="C166" s="448">
        <v>2100</v>
      </c>
      <c r="D166" s="449">
        <v>2282</v>
      </c>
      <c r="S166" s="216" t="s">
        <v>541</v>
      </c>
    </row>
    <row r="167" spans="1:23" x14ac:dyDescent="0.3">
      <c r="A167" s="446" t="s">
        <v>474</v>
      </c>
      <c r="B167" s="447" t="s">
        <v>813</v>
      </c>
      <c r="C167" s="448">
        <v>2100</v>
      </c>
      <c r="D167" s="449">
        <v>2282</v>
      </c>
      <c r="S167" s="216" t="s">
        <v>538</v>
      </c>
    </row>
    <row r="168" spans="1:23" x14ac:dyDescent="0.3">
      <c r="A168" s="446" t="s">
        <v>475</v>
      </c>
      <c r="B168" s="447" t="s">
        <v>813</v>
      </c>
      <c r="C168" s="448">
        <v>2100</v>
      </c>
      <c r="D168" s="449">
        <v>2282</v>
      </c>
      <c r="S168" s="216" t="s">
        <v>475</v>
      </c>
    </row>
    <row r="169" spans="1:23" x14ac:dyDescent="0.3">
      <c r="A169" s="446" t="s">
        <v>476</v>
      </c>
      <c r="B169" s="447" t="s">
        <v>813</v>
      </c>
      <c r="C169" s="448">
        <v>2100</v>
      </c>
      <c r="D169" s="449">
        <v>2282</v>
      </c>
      <c r="G169" s="364"/>
      <c r="S169" s="216" t="s">
        <v>539</v>
      </c>
    </row>
    <row r="170" spans="1:23" x14ac:dyDescent="0.3">
      <c r="A170" s="446" t="s">
        <v>130</v>
      </c>
      <c r="B170" s="447" t="s">
        <v>815</v>
      </c>
      <c r="C170" s="448">
        <v>2442</v>
      </c>
      <c r="D170" s="449">
        <v>2585</v>
      </c>
      <c r="S170" s="216" t="s">
        <v>546</v>
      </c>
      <c r="T170" s="216">
        <v>1480.3791666666666</v>
      </c>
      <c r="W170" s="450"/>
    </row>
    <row r="171" spans="1:23" x14ac:dyDescent="0.3">
      <c r="A171" s="446" t="s">
        <v>132</v>
      </c>
      <c r="B171" s="447" t="s">
        <v>815</v>
      </c>
      <c r="C171" s="448">
        <v>2442</v>
      </c>
      <c r="D171" s="449">
        <v>2585</v>
      </c>
      <c r="S171" s="216" t="s">
        <v>817</v>
      </c>
      <c r="T171" s="216">
        <v>3180.9749999999999</v>
      </c>
      <c r="W171" s="450"/>
    </row>
    <row r="172" spans="1:23" x14ac:dyDescent="0.3">
      <c r="A172" s="446" t="s">
        <v>133</v>
      </c>
      <c r="B172" s="447" t="s">
        <v>815</v>
      </c>
      <c r="C172" s="448">
        <v>2442</v>
      </c>
      <c r="D172" s="449">
        <v>2585</v>
      </c>
      <c r="S172" s="216" t="s">
        <v>545</v>
      </c>
    </row>
    <row r="173" spans="1:23" x14ac:dyDescent="0.3">
      <c r="A173" s="446" t="s">
        <v>136</v>
      </c>
      <c r="B173" s="447" t="s">
        <v>815</v>
      </c>
      <c r="C173" s="448">
        <v>2442</v>
      </c>
      <c r="D173" s="449">
        <v>2585</v>
      </c>
      <c r="S173" s="216" t="s">
        <v>545</v>
      </c>
    </row>
    <row r="174" spans="1:23" x14ac:dyDescent="0.3">
      <c r="A174" s="446" t="s">
        <v>138</v>
      </c>
      <c r="B174" s="447" t="s">
        <v>815</v>
      </c>
      <c r="C174" s="448">
        <v>2442</v>
      </c>
      <c r="D174" s="449">
        <v>2585</v>
      </c>
      <c r="S174" s="216" t="s">
        <v>817</v>
      </c>
    </row>
    <row r="175" spans="1:23" x14ac:dyDescent="0.3">
      <c r="A175" s="446" t="s">
        <v>139</v>
      </c>
      <c r="B175" s="447" t="s">
        <v>815</v>
      </c>
      <c r="C175" s="448">
        <v>2442</v>
      </c>
      <c r="D175" s="449">
        <v>2585</v>
      </c>
      <c r="S175" s="216" t="s">
        <v>547</v>
      </c>
    </row>
    <row r="176" spans="1:23" x14ac:dyDescent="0.3">
      <c r="A176" s="446" t="s">
        <v>141</v>
      </c>
      <c r="B176" s="447" t="s">
        <v>815</v>
      </c>
      <c r="C176" s="448">
        <v>2442</v>
      </c>
      <c r="D176" s="449">
        <v>2585</v>
      </c>
      <c r="S176" s="216" t="s">
        <v>545</v>
      </c>
    </row>
    <row r="177" spans="1:19" x14ac:dyDescent="0.3">
      <c r="A177" s="446" t="s">
        <v>144</v>
      </c>
      <c r="B177" s="447" t="s">
        <v>815</v>
      </c>
      <c r="C177" s="448">
        <v>2442</v>
      </c>
      <c r="D177" s="449">
        <v>2585</v>
      </c>
      <c r="S177" s="216" t="s">
        <v>547</v>
      </c>
    </row>
    <row r="178" spans="1:19" x14ac:dyDescent="0.3">
      <c r="A178" s="446" t="s">
        <v>145</v>
      </c>
      <c r="B178" s="447" t="s">
        <v>815</v>
      </c>
      <c r="C178" s="448">
        <v>2442</v>
      </c>
      <c r="D178" s="449">
        <v>2585</v>
      </c>
      <c r="S178" s="216" t="s">
        <v>546</v>
      </c>
    </row>
    <row r="179" spans="1:19" x14ac:dyDescent="0.3">
      <c r="A179" s="446" t="s">
        <v>146</v>
      </c>
      <c r="B179" s="447" t="s">
        <v>815</v>
      </c>
      <c r="C179" s="448">
        <v>2442</v>
      </c>
      <c r="D179" s="449">
        <v>2585</v>
      </c>
      <c r="S179" s="216" t="s">
        <v>547</v>
      </c>
    </row>
    <row r="180" spans="1:19" x14ac:dyDescent="0.3">
      <c r="A180" s="446" t="s">
        <v>147</v>
      </c>
      <c r="B180" s="447" t="s">
        <v>815</v>
      </c>
      <c r="C180" s="448">
        <v>2442</v>
      </c>
      <c r="D180" s="449">
        <v>2585</v>
      </c>
      <c r="S180" s="216" t="s">
        <v>546</v>
      </c>
    </row>
    <row r="181" spans="1:19" x14ac:dyDescent="0.3">
      <c r="A181" s="446" t="s">
        <v>149</v>
      </c>
      <c r="B181" s="447" t="s">
        <v>815</v>
      </c>
      <c r="C181" s="448">
        <v>2442</v>
      </c>
      <c r="D181" s="449">
        <v>2585</v>
      </c>
      <c r="S181" s="216" t="s">
        <v>546</v>
      </c>
    </row>
    <row r="182" spans="1:19" x14ac:dyDescent="0.3">
      <c r="A182" s="446" t="s">
        <v>150</v>
      </c>
      <c r="B182" s="447" t="s">
        <v>815</v>
      </c>
      <c r="C182" s="448">
        <v>2442</v>
      </c>
      <c r="D182" s="449">
        <v>2585</v>
      </c>
      <c r="S182" s="216" t="s">
        <v>546</v>
      </c>
    </row>
    <row r="183" spans="1:19" x14ac:dyDescent="0.3">
      <c r="A183" s="446" t="s">
        <v>151</v>
      </c>
      <c r="B183" s="447" t="s">
        <v>815</v>
      </c>
      <c r="C183" s="448">
        <v>2442</v>
      </c>
      <c r="D183" s="449">
        <v>2585</v>
      </c>
      <c r="S183" s="216" t="s">
        <v>546</v>
      </c>
    </row>
    <row r="184" spans="1:19" x14ac:dyDescent="0.3">
      <c r="A184" s="446" t="s">
        <v>155</v>
      </c>
      <c r="B184" s="447" t="s">
        <v>815</v>
      </c>
      <c r="C184" s="448">
        <v>2442</v>
      </c>
      <c r="D184" s="449">
        <v>2585</v>
      </c>
      <c r="S184" s="216" t="s">
        <v>546</v>
      </c>
    </row>
    <row r="185" spans="1:19" x14ac:dyDescent="0.3">
      <c r="A185" s="446" t="s">
        <v>156</v>
      </c>
      <c r="B185" s="447" t="s">
        <v>815</v>
      </c>
      <c r="C185" s="448">
        <v>2442</v>
      </c>
      <c r="D185" s="449">
        <v>2585</v>
      </c>
      <c r="S185" s="216" t="s">
        <v>547</v>
      </c>
    </row>
    <row r="186" spans="1:19" x14ac:dyDescent="0.3">
      <c r="A186" s="446" t="s">
        <v>157</v>
      </c>
      <c r="B186" s="447" t="s">
        <v>815</v>
      </c>
      <c r="C186" s="448">
        <v>2442</v>
      </c>
      <c r="D186" s="449">
        <v>2585</v>
      </c>
      <c r="S186" s="216" t="s">
        <v>547</v>
      </c>
    </row>
    <row r="187" spans="1:19" x14ac:dyDescent="0.3">
      <c r="A187" s="446" t="s">
        <v>159</v>
      </c>
      <c r="B187" s="447" t="s">
        <v>815</v>
      </c>
      <c r="C187" s="448">
        <v>2442</v>
      </c>
      <c r="D187" s="449">
        <v>2585</v>
      </c>
      <c r="S187" s="216" t="s">
        <v>546</v>
      </c>
    </row>
    <row r="188" spans="1:19" x14ac:dyDescent="0.3">
      <c r="A188" s="446" t="s">
        <v>160</v>
      </c>
      <c r="B188" s="447" t="s">
        <v>815</v>
      </c>
      <c r="C188" s="448">
        <v>2442</v>
      </c>
      <c r="D188" s="449">
        <v>2585</v>
      </c>
      <c r="S188" s="216" t="s">
        <v>547</v>
      </c>
    </row>
    <row r="189" spans="1:19" x14ac:dyDescent="0.3">
      <c r="A189" s="446" t="s">
        <v>161</v>
      </c>
      <c r="B189" s="447" t="s">
        <v>815</v>
      </c>
      <c r="C189" s="448">
        <v>2442</v>
      </c>
      <c r="D189" s="449">
        <v>2585</v>
      </c>
      <c r="S189" s="216" t="s">
        <v>547</v>
      </c>
    </row>
    <row r="190" spans="1:19" x14ac:dyDescent="0.3">
      <c r="A190" s="446" t="s">
        <v>162</v>
      </c>
      <c r="B190" s="447" t="s">
        <v>815</v>
      </c>
      <c r="C190" s="448">
        <v>2442</v>
      </c>
      <c r="D190" s="449">
        <v>2585</v>
      </c>
      <c r="S190" s="216" t="s">
        <v>547</v>
      </c>
    </row>
    <row r="191" spans="1:19" x14ac:dyDescent="0.3">
      <c r="A191" s="446" t="s">
        <v>163</v>
      </c>
      <c r="B191" s="447" t="s">
        <v>815</v>
      </c>
      <c r="C191" s="448">
        <v>2442</v>
      </c>
      <c r="D191" s="449">
        <v>2585</v>
      </c>
      <c r="S191" s="216" t="s">
        <v>546</v>
      </c>
    </row>
    <row r="192" spans="1:19" x14ac:dyDescent="0.3">
      <c r="A192" s="446" t="s">
        <v>165</v>
      </c>
      <c r="B192" s="447" t="s">
        <v>815</v>
      </c>
      <c r="C192" s="448">
        <v>2442</v>
      </c>
      <c r="D192" s="449">
        <v>2585</v>
      </c>
      <c r="S192" s="216" t="s">
        <v>547</v>
      </c>
    </row>
    <row r="193" spans="1:19" x14ac:dyDescent="0.3">
      <c r="A193" s="446" t="s">
        <v>166</v>
      </c>
      <c r="B193" s="447" t="s">
        <v>815</v>
      </c>
      <c r="C193" s="448">
        <v>2442</v>
      </c>
      <c r="D193" s="449">
        <v>2585</v>
      </c>
      <c r="S193" s="216" t="s">
        <v>547</v>
      </c>
    </row>
    <row r="194" spans="1:19" x14ac:dyDescent="0.3">
      <c r="A194" s="446" t="s">
        <v>168</v>
      </c>
      <c r="B194" s="447" t="s">
        <v>815</v>
      </c>
      <c r="C194" s="448">
        <v>2442</v>
      </c>
      <c r="D194" s="449">
        <v>2585</v>
      </c>
      <c r="S194" s="216" t="s">
        <v>545</v>
      </c>
    </row>
    <row r="195" spans="1:19" x14ac:dyDescent="0.3">
      <c r="A195" s="446" t="s">
        <v>169</v>
      </c>
      <c r="B195" s="447" t="s">
        <v>815</v>
      </c>
      <c r="C195" s="448">
        <v>2442</v>
      </c>
      <c r="D195" s="449">
        <v>2585</v>
      </c>
      <c r="S195" s="216" t="s">
        <v>547</v>
      </c>
    </row>
    <row r="196" spans="1:19" x14ac:dyDescent="0.3">
      <c r="A196" s="446" t="s">
        <v>170</v>
      </c>
      <c r="B196" s="447" t="s">
        <v>815</v>
      </c>
      <c r="C196" s="448">
        <v>2442</v>
      </c>
      <c r="D196" s="449">
        <v>2585</v>
      </c>
      <c r="S196" s="216" t="s">
        <v>546</v>
      </c>
    </row>
    <row r="197" spans="1:19" x14ac:dyDescent="0.3">
      <c r="A197" s="446" t="s">
        <v>171</v>
      </c>
      <c r="B197" s="447" t="s">
        <v>815</v>
      </c>
      <c r="C197" s="448">
        <v>2442</v>
      </c>
      <c r="D197" s="449">
        <v>2585</v>
      </c>
      <c r="S197" s="216" t="s">
        <v>817</v>
      </c>
    </row>
    <row r="198" spans="1:19" x14ac:dyDescent="0.3">
      <c r="A198" s="446" t="s">
        <v>172</v>
      </c>
      <c r="B198" s="447" t="s">
        <v>815</v>
      </c>
      <c r="C198" s="448">
        <v>2442</v>
      </c>
      <c r="D198" s="449">
        <v>2585</v>
      </c>
      <c r="S198" s="216" t="s">
        <v>546</v>
      </c>
    </row>
    <row r="199" spans="1:19" x14ac:dyDescent="0.3">
      <c r="A199" s="446" t="s">
        <v>174</v>
      </c>
      <c r="B199" s="447" t="s">
        <v>815</v>
      </c>
      <c r="C199" s="448">
        <v>2442</v>
      </c>
      <c r="D199" s="449">
        <v>2585</v>
      </c>
      <c r="S199" s="216" t="s">
        <v>546</v>
      </c>
    </row>
    <row r="200" spans="1:19" x14ac:dyDescent="0.3">
      <c r="A200" s="446" t="s">
        <v>175</v>
      </c>
      <c r="B200" s="447" t="s">
        <v>815</v>
      </c>
      <c r="C200" s="448">
        <v>2442</v>
      </c>
      <c r="D200" s="449">
        <v>2585</v>
      </c>
      <c r="S200" s="216" t="s">
        <v>547</v>
      </c>
    </row>
    <row r="201" spans="1:19" x14ac:dyDescent="0.3">
      <c r="A201" s="446" t="s">
        <v>176</v>
      </c>
      <c r="B201" s="447" t="s">
        <v>815</v>
      </c>
      <c r="C201" s="448">
        <v>2442</v>
      </c>
      <c r="D201" s="449">
        <v>2585</v>
      </c>
      <c r="S201" s="216" t="s">
        <v>817</v>
      </c>
    </row>
    <row r="202" spans="1:19" x14ac:dyDescent="0.3">
      <c r="A202" s="446" t="s">
        <v>177</v>
      </c>
      <c r="B202" s="447" t="s">
        <v>815</v>
      </c>
      <c r="C202" s="448">
        <v>2442</v>
      </c>
      <c r="D202" s="449">
        <v>2585</v>
      </c>
      <c r="S202" s="216" t="s">
        <v>817</v>
      </c>
    </row>
    <row r="203" spans="1:19" x14ac:dyDescent="0.3">
      <c r="A203" s="446" t="s">
        <v>178</v>
      </c>
      <c r="B203" s="447" t="s">
        <v>815</v>
      </c>
      <c r="C203" s="448">
        <v>2442</v>
      </c>
      <c r="D203" s="449">
        <v>2585</v>
      </c>
      <c r="S203" s="216" t="s">
        <v>546</v>
      </c>
    </row>
    <row r="204" spans="1:19" x14ac:dyDescent="0.3">
      <c r="A204" s="446" t="s">
        <v>179</v>
      </c>
      <c r="B204" s="447" t="s">
        <v>815</v>
      </c>
      <c r="C204" s="448">
        <v>2442</v>
      </c>
      <c r="D204" s="449">
        <v>2585</v>
      </c>
      <c r="S204" s="216" t="s">
        <v>547</v>
      </c>
    </row>
    <row r="205" spans="1:19" x14ac:dyDescent="0.3">
      <c r="A205" s="446" t="s">
        <v>180</v>
      </c>
      <c r="B205" s="447" t="s">
        <v>815</v>
      </c>
      <c r="C205" s="448">
        <v>2442</v>
      </c>
      <c r="D205" s="449">
        <v>2585</v>
      </c>
      <c r="S205" s="216" t="s">
        <v>546</v>
      </c>
    </row>
    <row r="206" spans="1:19" x14ac:dyDescent="0.3">
      <c r="A206" s="446" t="s">
        <v>181</v>
      </c>
      <c r="B206" s="447" t="s">
        <v>815</v>
      </c>
      <c r="C206" s="448">
        <v>2442</v>
      </c>
      <c r="D206" s="449">
        <v>2585</v>
      </c>
      <c r="S206" s="216" t="s">
        <v>547</v>
      </c>
    </row>
    <row r="207" spans="1:19" x14ac:dyDescent="0.3">
      <c r="A207" s="446" t="s">
        <v>182</v>
      </c>
      <c r="B207" s="447" t="s">
        <v>815</v>
      </c>
      <c r="C207" s="448">
        <v>2442</v>
      </c>
      <c r="D207" s="449">
        <v>2585</v>
      </c>
      <c r="S207" s="216" t="s">
        <v>547</v>
      </c>
    </row>
    <row r="208" spans="1:19" x14ac:dyDescent="0.3">
      <c r="A208" s="446" t="s">
        <v>185</v>
      </c>
      <c r="B208" s="447" t="s">
        <v>815</v>
      </c>
      <c r="C208" s="448">
        <v>2442</v>
      </c>
      <c r="D208" s="449">
        <v>2585</v>
      </c>
      <c r="S208" s="216" t="s">
        <v>545</v>
      </c>
    </row>
    <row r="209" spans="1:23" x14ac:dyDescent="0.3">
      <c r="A209" s="446" t="s">
        <v>187</v>
      </c>
      <c r="B209" s="447" t="s">
        <v>815</v>
      </c>
      <c r="C209" s="448">
        <v>2442</v>
      </c>
      <c r="D209" s="449">
        <v>2585</v>
      </c>
      <c r="S209" s="216" t="s">
        <v>547</v>
      </c>
    </row>
    <row r="210" spans="1:23" x14ac:dyDescent="0.3">
      <c r="A210" s="446" t="s">
        <v>119</v>
      </c>
      <c r="B210" s="447" t="s">
        <v>127</v>
      </c>
      <c r="C210" s="448">
        <v>2282</v>
      </c>
      <c r="D210" s="449">
        <v>2442</v>
      </c>
      <c r="S210" s="216" t="s">
        <v>548</v>
      </c>
    </row>
    <row r="211" spans="1:23" x14ac:dyDescent="0.3">
      <c r="A211" s="446" t="s">
        <v>189</v>
      </c>
      <c r="B211" s="447" t="s">
        <v>127</v>
      </c>
      <c r="C211" s="448">
        <v>2282</v>
      </c>
      <c r="D211" s="449">
        <v>2442</v>
      </c>
      <c r="S211" s="216" t="s">
        <v>550</v>
      </c>
      <c r="T211" s="216">
        <v>368.64999999999992</v>
      </c>
      <c r="W211" s="450"/>
    </row>
    <row r="212" spans="1:23" x14ac:dyDescent="0.3">
      <c r="A212" s="446" t="s">
        <v>263</v>
      </c>
      <c r="B212" s="447" t="s">
        <v>127</v>
      </c>
      <c r="C212" s="448">
        <v>2282</v>
      </c>
      <c r="D212" s="449">
        <v>2442</v>
      </c>
      <c r="S212" s="216" t="s">
        <v>550</v>
      </c>
      <c r="T212" s="216">
        <v>641.48750000000007</v>
      </c>
      <c r="W212" s="450"/>
    </row>
    <row r="213" spans="1:23" x14ac:dyDescent="0.3">
      <c r="A213" s="446" t="s">
        <v>129</v>
      </c>
      <c r="B213" s="447" t="s">
        <v>127</v>
      </c>
      <c r="C213" s="448">
        <v>2282</v>
      </c>
      <c r="D213" s="449">
        <v>2442</v>
      </c>
      <c r="S213" s="216" t="s">
        <v>548</v>
      </c>
      <c r="T213" s="216">
        <v>925.27500000000009</v>
      </c>
      <c r="W213" s="450"/>
    </row>
    <row r="214" spans="1:23" x14ac:dyDescent="0.3">
      <c r="A214" s="446" t="s">
        <v>131</v>
      </c>
      <c r="B214" s="447" t="s">
        <v>127</v>
      </c>
      <c r="C214" s="448">
        <v>2282</v>
      </c>
      <c r="D214" s="449">
        <v>2442</v>
      </c>
      <c r="S214" s="216" t="s">
        <v>548</v>
      </c>
      <c r="T214" s="216">
        <v>2771.2625000000003</v>
      </c>
      <c r="W214" s="450"/>
    </row>
    <row r="215" spans="1:23" x14ac:dyDescent="0.3">
      <c r="A215" s="446" t="s">
        <v>264</v>
      </c>
      <c r="B215" s="447" t="s">
        <v>127</v>
      </c>
      <c r="C215" s="448">
        <v>2282</v>
      </c>
      <c r="D215" s="449">
        <v>2442</v>
      </c>
      <c r="S215" s="216" t="s">
        <v>551</v>
      </c>
      <c r="T215" s="216">
        <v>3754.0250000000001</v>
      </c>
      <c r="W215" s="450"/>
    </row>
    <row r="216" spans="1:23" x14ac:dyDescent="0.3">
      <c r="A216" s="446" t="s">
        <v>265</v>
      </c>
      <c r="B216" s="447" t="s">
        <v>127</v>
      </c>
      <c r="C216" s="448">
        <v>2282</v>
      </c>
      <c r="D216" s="449">
        <v>2442</v>
      </c>
      <c r="S216" s="216" t="s">
        <v>280</v>
      </c>
      <c r="T216" s="216">
        <v>3897.5916666666667</v>
      </c>
      <c r="W216" s="450"/>
    </row>
    <row r="217" spans="1:23" x14ac:dyDescent="0.3">
      <c r="A217" s="446" t="s">
        <v>134</v>
      </c>
      <c r="B217" s="447" t="s">
        <v>127</v>
      </c>
      <c r="C217" s="448">
        <v>2282</v>
      </c>
      <c r="D217" s="449">
        <v>2442</v>
      </c>
      <c r="S217" s="216" t="s">
        <v>548</v>
      </c>
    </row>
    <row r="218" spans="1:23" x14ac:dyDescent="0.3">
      <c r="A218" s="446" t="s">
        <v>266</v>
      </c>
      <c r="B218" s="447" t="s">
        <v>127</v>
      </c>
      <c r="C218" s="448">
        <v>2282</v>
      </c>
      <c r="D218" s="449">
        <v>2442</v>
      </c>
      <c r="S218" s="216" t="s">
        <v>550</v>
      </c>
    </row>
    <row r="219" spans="1:23" x14ac:dyDescent="0.3">
      <c r="A219" s="446" t="s">
        <v>137</v>
      </c>
      <c r="B219" s="447" t="s">
        <v>127</v>
      </c>
      <c r="C219" s="448">
        <v>2282</v>
      </c>
      <c r="D219" s="449">
        <v>2442</v>
      </c>
      <c r="S219" s="216" t="s">
        <v>548</v>
      </c>
    </row>
    <row r="220" spans="1:23" x14ac:dyDescent="0.3">
      <c r="A220" s="446" t="s">
        <v>140</v>
      </c>
      <c r="B220" s="447" t="s">
        <v>127</v>
      </c>
      <c r="C220" s="448">
        <v>2282</v>
      </c>
      <c r="D220" s="449">
        <v>2442</v>
      </c>
      <c r="S220" s="216" t="s">
        <v>548</v>
      </c>
    </row>
    <row r="221" spans="1:23" x14ac:dyDescent="0.3">
      <c r="A221" s="446" t="s">
        <v>267</v>
      </c>
      <c r="B221" s="447" t="s">
        <v>127</v>
      </c>
      <c r="C221" s="448">
        <v>2282</v>
      </c>
      <c r="D221" s="449">
        <v>2442</v>
      </c>
      <c r="S221" s="216" t="s">
        <v>280</v>
      </c>
    </row>
    <row r="222" spans="1:23" x14ac:dyDescent="0.3">
      <c r="A222" s="446" t="s">
        <v>143</v>
      </c>
      <c r="B222" s="447" t="s">
        <v>127</v>
      </c>
      <c r="C222" s="448">
        <v>2282</v>
      </c>
      <c r="D222" s="449">
        <v>2442</v>
      </c>
      <c r="S222" s="216" t="s">
        <v>548</v>
      </c>
    </row>
    <row r="223" spans="1:23" x14ac:dyDescent="0.3">
      <c r="A223" s="446" t="s">
        <v>268</v>
      </c>
      <c r="B223" s="447" t="s">
        <v>127</v>
      </c>
      <c r="C223" s="448">
        <v>2282</v>
      </c>
      <c r="D223" s="449">
        <v>2442</v>
      </c>
      <c r="S223" s="216" t="s">
        <v>551</v>
      </c>
    </row>
    <row r="224" spans="1:23" x14ac:dyDescent="0.3">
      <c r="A224" s="446" t="s">
        <v>269</v>
      </c>
      <c r="B224" s="447" t="s">
        <v>127</v>
      </c>
      <c r="C224" s="448">
        <v>2282</v>
      </c>
      <c r="D224" s="449">
        <v>2442</v>
      </c>
      <c r="S224" s="216" t="s">
        <v>280</v>
      </c>
    </row>
    <row r="225" spans="1:19" x14ac:dyDescent="0.3">
      <c r="A225" s="446" t="s">
        <v>270</v>
      </c>
      <c r="B225" s="447" t="s">
        <v>127</v>
      </c>
      <c r="C225" s="448">
        <v>2282</v>
      </c>
      <c r="D225" s="449">
        <v>2442</v>
      </c>
      <c r="S225" s="216" t="s">
        <v>280</v>
      </c>
    </row>
    <row r="226" spans="1:19" x14ac:dyDescent="0.3">
      <c r="A226" s="446" t="s">
        <v>271</v>
      </c>
      <c r="B226" s="447" t="s">
        <v>127</v>
      </c>
      <c r="C226" s="448">
        <v>2282</v>
      </c>
      <c r="D226" s="449">
        <v>2442</v>
      </c>
      <c r="S226" s="216" t="s">
        <v>551</v>
      </c>
    </row>
    <row r="227" spans="1:19" x14ac:dyDescent="0.3">
      <c r="A227" s="446" t="s">
        <v>272</v>
      </c>
      <c r="B227" s="447" t="s">
        <v>127</v>
      </c>
      <c r="C227" s="448">
        <v>2282</v>
      </c>
      <c r="D227" s="449">
        <v>2442</v>
      </c>
      <c r="S227" s="216" t="s">
        <v>549</v>
      </c>
    </row>
    <row r="228" spans="1:19" x14ac:dyDescent="0.3">
      <c r="A228" s="446" t="s">
        <v>273</v>
      </c>
      <c r="B228" s="447" t="s">
        <v>127</v>
      </c>
      <c r="C228" s="448">
        <v>2282</v>
      </c>
      <c r="D228" s="449">
        <v>2442</v>
      </c>
      <c r="S228" s="216" t="s">
        <v>550</v>
      </c>
    </row>
    <row r="229" spans="1:19" x14ac:dyDescent="0.3">
      <c r="A229" s="446" t="s">
        <v>274</v>
      </c>
      <c r="B229" s="447" t="s">
        <v>127</v>
      </c>
      <c r="C229" s="448">
        <v>2282</v>
      </c>
      <c r="D229" s="449">
        <v>2442</v>
      </c>
      <c r="S229" s="216" t="s">
        <v>551</v>
      </c>
    </row>
    <row r="230" spans="1:19" x14ac:dyDescent="0.3">
      <c r="A230" s="446" t="s">
        <v>275</v>
      </c>
      <c r="B230" s="447" t="s">
        <v>127</v>
      </c>
      <c r="C230" s="448">
        <v>2282</v>
      </c>
      <c r="D230" s="449">
        <v>2442</v>
      </c>
      <c r="S230" s="216" t="s">
        <v>550</v>
      </c>
    </row>
    <row r="231" spans="1:19" x14ac:dyDescent="0.3">
      <c r="A231" s="446" t="s">
        <v>276</v>
      </c>
      <c r="B231" s="447" t="s">
        <v>127</v>
      </c>
      <c r="C231" s="448">
        <v>2282</v>
      </c>
      <c r="D231" s="449">
        <v>2442</v>
      </c>
      <c r="S231" s="216" t="s">
        <v>551</v>
      </c>
    </row>
    <row r="232" spans="1:19" x14ac:dyDescent="0.3">
      <c r="A232" s="446" t="s">
        <v>277</v>
      </c>
      <c r="B232" s="447" t="s">
        <v>127</v>
      </c>
      <c r="C232" s="448">
        <v>2282</v>
      </c>
      <c r="D232" s="449">
        <v>2442</v>
      </c>
      <c r="S232" s="216" t="s">
        <v>550</v>
      </c>
    </row>
    <row r="233" spans="1:19" x14ac:dyDescent="0.3">
      <c r="A233" s="446" t="s">
        <v>278</v>
      </c>
      <c r="B233" s="447" t="s">
        <v>127</v>
      </c>
      <c r="C233" s="448">
        <v>2282</v>
      </c>
      <c r="D233" s="449">
        <v>2442</v>
      </c>
      <c r="S233" s="216" t="s">
        <v>551</v>
      </c>
    </row>
    <row r="234" spans="1:19" x14ac:dyDescent="0.3">
      <c r="A234" s="446" t="s">
        <v>279</v>
      </c>
      <c r="B234" s="447" t="s">
        <v>127</v>
      </c>
      <c r="C234" s="448">
        <v>2282</v>
      </c>
      <c r="D234" s="449">
        <v>2442</v>
      </c>
      <c r="S234" s="216" t="s">
        <v>550</v>
      </c>
    </row>
    <row r="235" spans="1:19" x14ac:dyDescent="0.3">
      <c r="A235" s="446" t="s">
        <v>152</v>
      </c>
      <c r="B235" s="447" t="s">
        <v>127</v>
      </c>
      <c r="C235" s="448">
        <v>2282</v>
      </c>
      <c r="D235" s="449">
        <v>2442</v>
      </c>
      <c r="S235" s="216" t="s">
        <v>548</v>
      </c>
    </row>
    <row r="236" spans="1:19" x14ac:dyDescent="0.3">
      <c r="A236" s="446" t="s">
        <v>153</v>
      </c>
      <c r="B236" s="447" t="s">
        <v>127</v>
      </c>
      <c r="C236" s="448">
        <v>2282</v>
      </c>
      <c r="D236" s="449">
        <v>2442</v>
      </c>
      <c r="S236" s="216" t="s">
        <v>548</v>
      </c>
    </row>
    <row r="237" spans="1:19" x14ac:dyDescent="0.3">
      <c r="A237" s="446" t="s">
        <v>154</v>
      </c>
      <c r="B237" s="447" t="s">
        <v>127</v>
      </c>
      <c r="C237" s="448">
        <v>2282</v>
      </c>
      <c r="D237" s="449">
        <v>2442</v>
      </c>
      <c r="S237" s="216" t="s">
        <v>548</v>
      </c>
    </row>
    <row r="238" spans="1:19" x14ac:dyDescent="0.3">
      <c r="A238" s="446" t="s">
        <v>280</v>
      </c>
      <c r="B238" s="447" t="s">
        <v>127</v>
      </c>
      <c r="C238" s="448">
        <v>2282</v>
      </c>
      <c r="D238" s="449">
        <v>2442</v>
      </c>
      <c r="S238" s="216" t="s">
        <v>280</v>
      </c>
    </row>
    <row r="239" spans="1:19" x14ac:dyDescent="0.3">
      <c r="A239" s="446" t="s">
        <v>281</v>
      </c>
      <c r="B239" s="447" t="s">
        <v>127</v>
      </c>
      <c r="C239" s="448">
        <v>2282</v>
      </c>
      <c r="D239" s="449">
        <v>2442</v>
      </c>
      <c r="S239" s="216" t="s">
        <v>551</v>
      </c>
    </row>
    <row r="240" spans="1:19" x14ac:dyDescent="0.3">
      <c r="A240" s="446" t="s">
        <v>282</v>
      </c>
      <c r="B240" s="447" t="s">
        <v>127</v>
      </c>
      <c r="C240" s="448">
        <v>2282</v>
      </c>
      <c r="D240" s="449">
        <v>2442</v>
      </c>
      <c r="S240" s="216" t="s">
        <v>549</v>
      </c>
    </row>
    <row r="241" spans="1:19" x14ac:dyDescent="0.3">
      <c r="A241" s="446" t="s">
        <v>283</v>
      </c>
      <c r="B241" s="447" t="s">
        <v>127</v>
      </c>
      <c r="C241" s="448">
        <v>2282</v>
      </c>
      <c r="D241" s="449">
        <v>2442</v>
      </c>
      <c r="S241" s="216" t="s">
        <v>549</v>
      </c>
    </row>
    <row r="242" spans="1:19" x14ac:dyDescent="0.3">
      <c r="A242" s="446" t="s">
        <v>284</v>
      </c>
      <c r="B242" s="447" t="s">
        <v>127</v>
      </c>
      <c r="C242" s="448">
        <v>2282</v>
      </c>
      <c r="D242" s="449">
        <v>2442</v>
      </c>
      <c r="S242" s="216" t="s">
        <v>551</v>
      </c>
    </row>
    <row r="243" spans="1:19" x14ac:dyDescent="0.3">
      <c r="A243" s="446" t="s">
        <v>285</v>
      </c>
      <c r="B243" s="447" t="s">
        <v>127</v>
      </c>
      <c r="C243" s="448">
        <v>2282</v>
      </c>
      <c r="D243" s="449">
        <v>2442</v>
      </c>
      <c r="S243" s="216" t="s">
        <v>551</v>
      </c>
    </row>
    <row r="244" spans="1:19" x14ac:dyDescent="0.3">
      <c r="A244" s="446" t="s">
        <v>286</v>
      </c>
      <c r="B244" s="447" t="s">
        <v>127</v>
      </c>
      <c r="C244" s="448">
        <v>2282</v>
      </c>
      <c r="D244" s="449">
        <v>2442</v>
      </c>
      <c r="S244" s="216" t="s">
        <v>548</v>
      </c>
    </row>
    <row r="245" spans="1:19" x14ac:dyDescent="0.3">
      <c r="A245" s="446" t="s">
        <v>287</v>
      </c>
      <c r="B245" s="447" t="s">
        <v>127</v>
      </c>
      <c r="C245" s="448">
        <v>2282</v>
      </c>
      <c r="D245" s="449">
        <v>2442</v>
      </c>
      <c r="S245" s="216" t="s">
        <v>549</v>
      </c>
    </row>
    <row r="246" spans="1:19" x14ac:dyDescent="0.3">
      <c r="A246" s="446" t="s">
        <v>288</v>
      </c>
      <c r="B246" s="447" t="s">
        <v>127</v>
      </c>
      <c r="C246" s="448">
        <v>2282</v>
      </c>
      <c r="D246" s="449">
        <v>2442</v>
      </c>
      <c r="S246" s="216" t="s">
        <v>549</v>
      </c>
    </row>
    <row r="247" spans="1:19" x14ac:dyDescent="0.3">
      <c r="A247" s="446" t="s">
        <v>289</v>
      </c>
      <c r="B247" s="447" t="s">
        <v>127</v>
      </c>
      <c r="C247" s="448">
        <v>2282</v>
      </c>
      <c r="D247" s="449">
        <v>2442</v>
      </c>
      <c r="S247" s="216" t="s">
        <v>550</v>
      </c>
    </row>
    <row r="248" spans="1:19" x14ac:dyDescent="0.3">
      <c r="A248" s="446" t="s">
        <v>290</v>
      </c>
      <c r="B248" s="447" t="s">
        <v>127</v>
      </c>
      <c r="C248" s="448">
        <v>2282</v>
      </c>
      <c r="D248" s="449">
        <v>2442</v>
      </c>
      <c r="S248" s="216" t="s">
        <v>550</v>
      </c>
    </row>
    <row r="249" spans="1:19" x14ac:dyDescent="0.3">
      <c r="A249" s="446" t="s">
        <v>291</v>
      </c>
      <c r="B249" s="447" t="s">
        <v>127</v>
      </c>
      <c r="C249" s="448">
        <v>2282</v>
      </c>
      <c r="D249" s="449">
        <v>2442</v>
      </c>
      <c r="S249" s="216" t="s">
        <v>551</v>
      </c>
    </row>
    <row r="250" spans="1:19" x14ac:dyDescent="0.3">
      <c r="A250" s="446" t="s">
        <v>292</v>
      </c>
      <c r="B250" s="447" t="s">
        <v>127</v>
      </c>
      <c r="C250" s="448">
        <v>2282</v>
      </c>
      <c r="D250" s="449">
        <v>2442</v>
      </c>
      <c r="S250" s="216" t="s">
        <v>551</v>
      </c>
    </row>
    <row r="251" spans="1:19" x14ac:dyDescent="0.3">
      <c r="A251" s="446" t="s">
        <v>293</v>
      </c>
      <c r="B251" s="447" t="s">
        <v>127</v>
      </c>
      <c r="C251" s="448">
        <v>2282</v>
      </c>
      <c r="D251" s="449">
        <v>2442</v>
      </c>
      <c r="S251" s="216" t="s">
        <v>550</v>
      </c>
    </row>
    <row r="252" spans="1:19" x14ac:dyDescent="0.3">
      <c r="A252" s="446" t="s">
        <v>294</v>
      </c>
      <c r="B252" s="447" t="s">
        <v>127</v>
      </c>
      <c r="C252" s="448">
        <v>2282</v>
      </c>
      <c r="D252" s="449">
        <v>2442</v>
      </c>
      <c r="S252" s="216" t="s">
        <v>550</v>
      </c>
    </row>
    <row r="253" spans="1:19" x14ac:dyDescent="0.3">
      <c r="A253" s="446" t="s">
        <v>295</v>
      </c>
      <c r="B253" s="447" t="s">
        <v>127</v>
      </c>
      <c r="C253" s="448">
        <v>2282</v>
      </c>
      <c r="D253" s="449">
        <v>2442</v>
      </c>
      <c r="S253" s="216" t="s">
        <v>550</v>
      </c>
    </row>
    <row r="254" spans="1:19" x14ac:dyDescent="0.3">
      <c r="A254" s="446" t="s">
        <v>296</v>
      </c>
      <c r="B254" s="447" t="s">
        <v>127</v>
      </c>
      <c r="C254" s="448">
        <v>2282</v>
      </c>
      <c r="D254" s="449">
        <v>2442</v>
      </c>
      <c r="S254" s="216" t="s">
        <v>549</v>
      </c>
    </row>
    <row r="255" spans="1:19" x14ac:dyDescent="0.3">
      <c r="A255" s="446" t="s">
        <v>297</v>
      </c>
      <c r="B255" s="447" t="s">
        <v>127</v>
      </c>
      <c r="C255" s="448">
        <v>2282</v>
      </c>
      <c r="D255" s="449">
        <v>2442</v>
      </c>
      <c r="S255" s="216" t="s">
        <v>551</v>
      </c>
    </row>
    <row r="256" spans="1:19" x14ac:dyDescent="0.3">
      <c r="A256" s="446" t="s">
        <v>298</v>
      </c>
      <c r="B256" s="447" t="s">
        <v>127</v>
      </c>
      <c r="C256" s="448">
        <v>2282</v>
      </c>
      <c r="D256" s="449">
        <v>2442</v>
      </c>
      <c r="S256" s="216" t="s">
        <v>549</v>
      </c>
    </row>
    <row r="257" spans="1:28" x14ac:dyDescent="0.3">
      <c r="A257" s="446" t="s">
        <v>299</v>
      </c>
      <c r="B257" s="447" t="s">
        <v>127</v>
      </c>
      <c r="C257" s="448">
        <v>2282</v>
      </c>
      <c r="D257" s="449">
        <v>2442</v>
      </c>
      <c r="S257" s="216" t="s">
        <v>551</v>
      </c>
    </row>
    <row r="258" spans="1:28" x14ac:dyDescent="0.3">
      <c r="A258" s="446" t="s">
        <v>300</v>
      </c>
      <c r="B258" s="447" t="s">
        <v>127</v>
      </c>
      <c r="C258" s="448">
        <v>2282</v>
      </c>
      <c r="D258" s="449">
        <v>2442</v>
      </c>
      <c r="S258" s="216" t="s">
        <v>550</v>
      </c>
      <c r="Y258" s="446" t="s">
        <v>154</v>
      </c>
      <c r="Z258" s="447" t="s">
        <v>118</v>
      </c>
      <c r="AA258" s="471">
        <v>2520</v>
      </c>
      <c r="AB258" s="449">
        <v>2680</v>
      </c>
    </row>
    <row r="259" spans="1:28" x14ac:dyDescent="0.3">
      <c r="A259" s="446" t="s">
        <v>301</v>
      </c>
      <c r="B259" s="447" t="s">
        <v>127</v>
      </c>
      <c r="C259" s="448">
        <v>2282</v>
      </c>
      <c r="D259" s="449">
        <v>2442</v>
      </c>
      <c r="S259" s="216" t="s">
        <v>551</v>
      </c>
    </row>
    <row r="260" spans="1:28" x14ac:dyDescent="0.3">
      <c r="A260" s="446" t="s">
        <v>302</v>
      </c>
      <c r="B260" s="447" t="s">
        <v>127</v>
      </c>
      <c r="C260" s="448">
        <v>2282</v>
      </c>
      <c r="D260" s="449">
        <v>2442</v>
      </c>
      <c r="S260" s="216" t="s">
        <v>550</v>
      </c>
      <c r="Y260" s="446" t="s">
        <v>184</v>
      </c>
      <c r="Z260" s="447" t="s">
        <v>118</v>
      </c>
      <c r="AA260" s="471">
        <v>2520</v>
      </c>
      <c r="AB260" s="449">
        <v>2680</v>
      </c>
    </row>
    <row r="261" spans="1:28" x14ac:dyDescent="0.3">
      <c r="A261" s="446" t="s">
        <v>303</v>
      </c>
      <c r="B261" s="447" t="s">
        <v>127</v>
      </c>
      <c r="C261" s="448">
        <v>2282</v>
      </c>
      <c r="D261" s="449">
        <v>2442</v>
      </c>
      <c r="S261" s="216" t="s">
        <v>549</v>
      </c>
    </row>
    <row r="262" spans="1:28" x14ac:dyDescent="0.3">
      <c r="A262" s="446" t="s">
        <v>304</v>
      </c>
      <c r="B262" s="447" t="s">
        <v>127</v>
      </c>
      <c r="C262" s="448">
        <v>2282</v>
      </c>
      <c r="D262" s="449">
        <v>2442</v>
      </c>
      <c r="S262" s="216" t="s">
        <v>549</v>
      </c>
      <c r="Y262" s="446" t="s">
        <v>186</v>
      </c>
      <c r="Z262" s="447" t="s">
        <v>118</v>
      </c>
      <c r="AA262" s="471">
        <v>2520</v>
      </c>
      <c r="AB262" s="449">
        <v>2680</v>
      </c>
    </row>
    <row r="263" spans="1:28" x14ac:dyDescent="0.3">
      <c r="A263" s="446" t="s">
        <v>173</v>
      </c>
      <c r="B263" s="447" t="s">
        <v>127</v>
      </c>
      <c r="C263" s="448">
        <v>2282</v>
      </c>
      <c r="D263" s="449">
        <v>2442</v>
      </c>
      <c r="S263" s="216" t="s">
        <v>548</v>
      </c>
    </row>
    <row r="264" spans="1:28" x14ac:dyDescent="0.3">
      <c r="A264" s="446" t="s">
        <v>305</v>
      </c>
      <c r="B264" s="447" t="s">
        <v>127</v>
      </c>
      <c r="C264" s="448">
        <v>2282</v>
      </c>
      <c r="D264" s="449">
        <v>2442</v>
      </c>
      <c r="S264" s="216" t="s">
        <v>551</v>
      </c>
    </row>
    <row r="265" spans="1:28" x14ac:dyDescent="0.3">
      <c r="A265" s="446" t="s">
        <v>306</v>
      </c>
      <c r="B265" s="447" t="s">
        <v>127</v>
      </c>
      <c r="C265" s="448">
        <v>2282</v>
      </c>
      <c r="D265" s="449">
        <v>2442</v>
      </c>
      <c r="S265" s="216" t="s">
        <v>280</v>
      </c>
    </row>
    <row r="266" spans="1:28" x14ac:dyDescent="0.3">
      <c r="A266" s="446" t="s">
        <v>307</v>
      </c>
      <c r="B266" s="447" t="s">
        <v>127</v>
      </c>
      <c r="C266" s="448">
        <v>2282</v>
      </c>
      <c r="D266" s="449">
        <v>2442</v>
      </c>
      <c r="S266" s="216" t="s">
        <v>551</v>
      </c>
    </row>
    <row r="267" spans="1:28" x14ac:dyDescent="0.3">
      <c r="A267" s="446" t="s">
        <v>308</v>
      </c>
      <c r="B267" s="447" t="s">
        <v>127</v>
      </c>
      <c r="C267" s="448">
        <v>2282</v>
      </c>
      <c r="D267" s="449">
        <v>2442</v>
      </c>
      <c r="S267" s="216" t="s">
        <v>280</v>
      </c>
    </row>
    <row r="268" spans="1:28" x14ac:dyDescent="0.3">
      <c r="A268" s="446" t="s">
        <v>309</v>
      </c>
      <c r="B268" s="447" t="s">
        <v>127</v>
      </c>
      <c r="C268" s="448">
        <v>2282</v>
      </c>
      <c r="D268" s="449">
        <v>2442</v>
      </c>
      <c r="S268" s="216" t="s">
        <v>549</v>
      </c>
    </row>
    <row r="269" spans="1:28" x14ac:dyDescent="0.3">
      <c r="A269" s="446" t="s">
        <v>310</v>
      </c>
      <c r="B269" s="447" t="s">
        <v>127</v>
      </c>
      <c r="C269" s="448">
        <v>2282</v>
      </c>
      <c r="D269" s="449">
        <v>2442</v>
      </c>
      <c r="S269" s="216" t="s">
        <v>551</v>
      </c>
    </row>
    <row r="270" spans="1:28" x14ac:dyDescent="0.3">
      <c r="A270" s="446" t="s">
        <v>311</v>
      </c>
      <c r="B270" s="447" t="s">
        <v>127</v>
      </c>
      <c r="C270" s="448">
        <v>2282</v>
      </c>
      <c r="D270" s="449">
        <v>2442</v>
      </c>
      <c r="S270" s="216" t="s">
        <v>550</v>
      </c>
    </row>
    <row r="271" spans="1:28" x14ac:dyDescent="0.3">
      <c r="A271" s="446" t="s">
        <v>312</v>
      </c>
      <c r="B271" s="447" t="s">
        <v>127</v>
      </c>
      <c r="C271" s="448">
        <v>2282</v>
      </c>
      <c r="D271" s="449">
        <v>2442</v>
      </c>
      <c r="S271" s="216" t="s">
        <v>280</v>
      </c>
    </row>
    <row r="272" spans="1:28" x14ac:dyDescent="0.3">
      <c r="A272" s="446" t="s">
        <v>183</v>
      </c>
      <c r="B272" s="447" t="s">
        <v>127</v>
      </c>
      <c r="C272" s="448">
        <v>2282</v>
      </c>
      <c r="D272" s="449">
        <v>2442</v>
      </c>
      <c r="S272" s="216" t="s">
        <v>548</v>
      </c>
    </row>
    <row r="273" spans="1:24" x14ac:dyDescent="0.3">
      <c r="A273" s="446" t="s">
        <v>184</v>
      </c>
      <c r="B273" s="447" t="s">
        <v>127</v>
      </c>
      <c r="C273" s="448">
        <v>2282</v>
      </c>
      <c r="D273" s="449">
        <v>2442</v>
      </c>
      <c r="S273" s="216" t="s">
        <v>548</v>
      </c>
    </row>
    <row r="274" spans="1:24" x14ac:dyDescent="0.3">
      <c r="A274" s="446" t="s">
        <v>186</v>
      </c>
      <c r="B274" s="447" t="s">
        <v>127</v>
      </c>
      <c r="C274" s="448">
        <v>2282</v>
      </c>
      <c r="D274" s="449">
        <v>2442</v>
      </c>
      <c r="S274" s="216" t="s">
        <v>548</v>
      </c>
    </row>
    <row r="275" spans="1:24" x14ac:dyDescent="0.3">
      <c r="A275" s="446" t="s">
        <v>188</v>
      </c>
      <c r="B275" s="447" t="s">
        <v>126</v>
      </c>
      <c r="C275" s="448">
        <v>2282</v>
      </c>
      <c r="D275" s="449">
        <v>2442</v>
      </c>
      <c r="S275" s="216" t="s">
        <v>200</v>
      </c>
      <c r="T275" s="224"/>
      <c r="U275" s="224"/>
      <c r="V275" s="224"/>
      <c r="W275" s="224"/>
      <c r="X275" s="224"/>
    </row>
    <row r="276" spans="1:24" x14ac:dyDescent="0.3">
      <c r="A276" s="446" t="s">
        <v>192</v>
      </c>
      <c r="B276" s="447" t="s">
        <v>126</v>
      </c>
      <c r="C276" s="448">
        <v>2282</v>
      </c>
      <c r="D276" s="449">
        <v>2442</v>
      </c>
      <c r="S276" s="216" t="s">
        <v>232</v>
      </c>
    </row>
    <row r="277" spans="1:24" x14ac:dyDescent="0.3">
      <c r="A277" s="446" t="s">
        <v>193</v>
      </c>
      <c r="B277" s="447" t="s">
        <v>126</v>
      </c>
      <c r="C277" s="448">
        <v>2282</v>
      </c>
      <c r="D277" s="449">
        <v>2442</v>
      </c>
      <c r="S277" s="216" t="s">
        <v>814</v>
      </c>
      <c r="T277" s="216">
        <v>785.9666666666667</v>
      </c>
      <c r="W277" s="450"/>
    </row>
    <row r="278" spans="1:24" x14ac:dyDescent="0.3">
      <c r="A278" s="446" t="s">
        <v>816</v>
      </c>
      <c r="B278" s="447" t="s">
        <v>126</v>
      </c>
      <c r="C278" s="448">
        <v>2282</v>
      </c>
      <c r="D278" s="449">
        <v>2442</v>
      </c>
      <c r="S278" s="216" t="s">
        <v>555</v>
      </c>
      <c r="T278" s="216">
        <v>1762.6458333333333</v>
      </c>
      <c r="W278" s="450"/>
    </row>
    <row r="279" spans="1:24" x14ac:dyDescent="0.3">
      <c r="A279" s="446" t="s">
        <v>194</v>
      </c>
      <c r="B279" s="447" t="s">
        <v>126</v>
      </c>
      <c r="C279" s="448">
        <v>2282</v>
      </c>
      <c r="D279" s="449">
        <v>2442</v>
      </c>
      <c r="S279" s="216" t="s">
        <v>200</v>
      </c>
      <c r="T279" s="216">
        <v>2001.1125000000002</v>
      </c>
      <c r="W279" s="450"/>
    </row>
    <row r="280" spans="1:24" x14ac:dyDescent="0.3">
      <c r="A280" s="446" t="s">
        <v>195</v>
      </c>
      <c r="B280" s="447" t="s">
        <v>126</v>
      </c>
      <c r="C280" s="448">
        <v>2282</v>
      </c>
      <c r="D280" s="449">
        <v>2442</v>
      </c>
      <c r="S280" s="216" t="s">
        <v>814</v>
      </c>
      <c r="T280" s="216">
        <v>2326.2666666666669</v>
      </c>
      <c r="W280" s="450"/>
    </row>
    <row r="281" spans="1:24" x14ac:dyDescent="0.3">
      <c r="A281" s="446" t="s">
        <v>196</v>
      </c>
      <c r="B281" s="447" t="s">
        <v>126</v>
      </c>
      <c r="C281" s="448">
        <v>2282</v>
      </c>
      <c r="D281" s="449">
        <v>2442</v>
      </c>
      <c r="S281" s="216" t="s">
        <v>555</v>
      </c>
      <c r="T281" s="216">
        <v>3324.2375000000006</v>
      </c>
      <c r="W281" s="450"/>
    </row>
    <row r="282" spans="1:24" x14ac:dyDescent="0.3">
      <c r="A282" s="446" t="s">
        <v>197</v>
      </c>
      <c r="B282" s="447" t="s">
        <v>126</v>
      </c>
      <c r="C282" s="448">
        <v>2282</v>
      </c>
      <c r="D282" s="449">
        <v>2442</v>
      </c>
      <c r="S282" s="216" t="s">
        <v>814</v>
      </c>
    </row>
    <row r="283" spans="1:24" x14ac:dyDescent="0.3">
      <c r="A283" s="446" t="s">
        <v>135</v>
      </c>
      <c r="B283" s="447" t="s">
        <v>126</v>
      </c>
      <c r="C283" s="448">
        <v>2282</v>
      </c>
      <c r="D283" s="449">
        <v>2442</v>
      </c>
      <c r="S283" s="216" t="s">
        <v>554</v>
      </c>
    </row>
    <row r="284" spans="1:24" x14ac:dyDescent="0.3">
      <c r="A284" s="446" t="s">
        <v>198</v>
      </c>
      <c r="B284" s="447" t="s">
        <v>126</v>
      </c>
      <c r="C284" s="448">
        <v>2282</v>
      </c>
      <c r="D284" s="449">
        <v>2442</v>
      </c>
      <c r="S284" s="216" t="s">
        <v>814</v>
      </c>
    </row>
    <row r="285" spans="1:24" x14ac:dyDescent="0.3">
      <c r="A285" s="446" t="s">
        <v>199</v>
      </c>
      <c r="B285" s="447" t="s">
        <v>126</v>
      </c>
      <c r="C285" s="448">
        <v>2282</v>
      </c>
      <c r="D285" s="449">
        <v>2442</v>
      </c>
      <c r="S285" s="216" t="s">
        <v>200</v>
      </c>
    </row>
    <row r="286" spans="1:24" x14ac:dyDescent="0.3">
      <c r="A286" s="446" t="s">
        <v>200</v>
      </c>
      <c r="B286" s="447" t="s">
        <v>126</v>
      </c>
      <c r="C286" s="448">
        <v>2282</v>
      </c>
      <c r="D286" s="449">
        <v>2442</v>
      </c>
      <c r="S286" s="216" t="s">
        <v>200</v>
      </c>
    </row>
    <row r="287" spans="1:24" x14ac:dyDescent="0.3">
      <c r="A287" s="446" t="s">
        <v>201</v>
      </c>
      <c r="B287" s="447" t="s">
        <v>126</v>
      </c>
      <c r="C287" s="448">
        <v>2282</v>
      </c>
      <c r="D287" s="449">
        <v>2442</v>
      </c>
      <c r="S287" s="216" t="s">
        <v>238</v>
      </c>
    </row>
    <row r="288" spans="1:24" x14ac:dyDescent="0.3">
      <c r="A288" s="446" t="s">
        <v>202</v>
      </c>
      <c r="B288" s="447" t="s">
        <v>126</v>
      </c>
      <c r="C288" s="448">
        <v>2282</v>
      </c>
      <c r="D288" s="449">
        <v>2442</v>
      </c>
      <c r="S288" s="216" t="s">
        <v>814</v>
      </c>
    </row>
    <row r="289" spans="1:19" x14ac:dyDescent="0.3">
      <c r="A289" s="446" t="s">
        <v>203</v>
      </c>
      <c r="B289" s="447" t="s">
        <v>126</v>
      </c>
      <c r="C289" s="448">
        <v>2282</v>
      </c>
      <c r="D289" s="449">
        <v>2442</v>
      </c>
      <c r="S289" s="216" t="s">
        <v>814</v>
      </c>
    </row>
    <row r="290" spans="1:19" x14ac:dyDescent="0.3">
      <c r="A290" s="446" t="s">
        <v>142</v>
      </c>
      <c r="B290" s="447" t="s">
        <v>126</v>
      </c>
      <c r="C290" s="448">
        <v>2282</v>
      </c>
      <c r="D290" s="449">
        <v>2442</v>
      </c>
      <c r="S290" s="216" t="s">
        <v>554</v>
      </c>
    </row>
    <row r="291" spans="1:19" x14ac:dyDescent="0.3">
      <c r="A291" s="446" t="s">
        <v>204</v>
      </c>
      <c r="B291" s="447" t="s">
        <v>126</v>
      </c>
      <c r="C291" s="448">
        <v>2282</v>
      </c>
      <c r="D291" s="449">
        <v>2442</v>
      </c>
      <c r="S291" s="216" t="s">
        <v>232</v>
      </c>
    </row>
    <row r="292" spans="1:19" x14ac:dyDescent="0.3">
      <c r="A292" s="446" t="s">
        <v>205</v>
      </c>
      <c r="B292" s="447" t="s">
        <v>126</v>
      </c>
      <c r="C292" s="448">
        <v>2282</v>
      </c>
      <c r="D292" s="449">
        <v>2442</v>
      </c>
      <c r="S292" s="216" t="s">
        <v>814</v>
      </c>
    </row>
    <row r="293" spans="1:19" x14ac:dyDescent="0.3">
      <c r="A293" s="446" t="s">
        <v>206</v>
      </c>
      <c r="B293" s="447" t="s">
        <v>126</v>
      </c>
      <c r="C293" s="448">
        <v>2282</v>
      </c>
      <c r="D293" s="449">
        <v>2442</v>
      </c>
      <c r="S293" s="216" t="s">
        <v>555</v>
      </c>
    </row>
    <row r="294" spans="1:19" x14ac:dyDescent="0.3">
      <c r="A294" s="446" t="s">
        <v>207</v>
      </c>
      <c r="B294" s="447" t="s">
        <v>126</v>
      </c>
      <c r="C294" s="448">
        <v>2282</v>
      </c>
      <c r="D294" s="449">
        <v>2442</v>
      </c>
      <c r="S294" s="216" t="s">
        <v>238</v>
      </c>
    </row>
    <row r="295" spans="1:19" x14ac:dyDescent="0.3">
      <c r="A295" s="446" t="s">
        <v>208</v>
      </c>
      <c r="B295" s="447" t="s">
        <v>126</v>
      </c>
      <c r="C295" s="448">
        <v>2282</v>
      </c>
      <c r="D295" s="449">
        <v>2442</v>
      </c>
      <c r="S295" s="216" t="s">
        <v>200</v>
      </c>
    </row>
    <row r="296" spans="1:19" x14ac:dyDescent="0.3">
      <c r="A296" s="446" t="s">
        <v>209</v>
      </c>
      <c r="B296" s="447" t="s">
        <v>126</v>
      </c>
      <c r="C296" s="448">
        <v>2282</v>
      </c>
      <c r="D296" s="449">
        <v>2442</v>
      </c>
      <c r="S296" s="216" t="s">
        <v>814</v>
      </c>
    </row>
    <row r="297" spans="1:19" x14ac:dyDescent="0.3">
      <c r="A297" s="446" t="s">
        <v>210</v>
      </c>
      <c r="B297" s="447" t="s">
        <v>126</v>
      </c>
      <c r="C297" s="448">
        <v>2282</v>
      </c>
      <c r="D297" s="449">
        <v>2442</v>
      </c>
      <c r="S297" s="216" t="s">
        <v>200</v>
      </c>
    </row>
    <row r="298" spans="1:19" x14ac:dyDescent="0.3">
      <c r="A298" s="446" t="s">
        <v>211</v>
      </c>
      <c r="B298" s="447" t="s">
        <v>126</v>
      </c>
      <c r="C298" s="448">
        <v>2282</v>
      </c>
      <c r="D298" s="449">
        <v>2442</v>
      </c>
      <c r="S298" s="216" t="s">
        <v>814</v>
      </c>
    </row>
    <row r="299" spans="1:19" x14ac:dyDescent="0.3">
      <c r="A299" s="446" t="s">
        <v>212</v>
      </c>
      <c r="B299" s="447" t="s">
        <v>126</v>
      </c>
      <c r="C299" s="448">
        <v>2282</v>
      </c>
      <c r="D299" s="449">
        <v>2442</v>
      </c>
      <c r="S299" s="216" t="s">
        <v>232</v>
      </c>
    </row>
    <row r="300" spans="1:19" x14ac:dyDescent="0.3">
      <c r="A300" s="446" t="s">
        <v>213</v>
      </c>
      <c r="B300" s="447" t="s">
        <v>126</v>
      </c>
      <c r="C300" s="448">
        <v>2282</v>
      </c>
      <c r="D300" s="449">
        <v>2442</v>
      </c>
      <c r="S300" s="216" t="s">
        <v>213</v>
      </c>
    </row>
    <row r="301" spans="1:19" x14ac:dyDescent="0.3">
      <c r="A301" s="446" t="s">
        <v>214</v>
      </c>
      <c r="B301" s="447" t="s">
        <v>126</v>
      </c>
      <c r="C301" s="448">
        <v>2282</v>
      </c>
      <c r="D301" s="449">
        <v>2442</v>
      </c>
      <c r="S301" s="216" t="s">
        <v>814</v>
      </c>
    </row>
    <row r="302" spans="1:19" x14ac:dyDescent="0.3">
      <c r="A302" s="446" t="s">
        <v>215</v>
      </c>
      <c r="B302" s="447" t="s">
        <v>126</v>
      </c>
      <c r="C302" s="448">
        <v>2282</v>
      </c>
      <c r="D302" s="449">
        <v>2442</v>
      </c>
      <c r="S302" s="216" t="s">
        <v>213</v>
      </c>
    </row>
    <row r="303" spans="1:19" x14ac:dyDescent="0.3">
      <c r="A303" s="446" t="s">
        <v>216</v>
      </c>
      <c r="B303" s="447" t="s">
        <v>126</v>
      </c>
      <c r="C303" s="448">
        <v>2282</v>
      </c>
      <c r="D303" s="449">
        <v>2442</v>
      </c>
      <c r="S303" s="216" t="s">
        <v>232</v>
      </c>
    </row>
    <row r="304" spans="1:19" x14ac:dyDescent="0.3">
      <c r="A304" s="446" t="s">
        <v>217</v>
      </c>
      <c r="B304" s="447" t="s">
        <v>126</v>
      </c>
      <c r="C304" s="448">
        <v>2282</v>
      </c>
      <c r="D304" s="449">
        <v>2442</v>
      </c>
      <c r="S304" s="216" t="s">
        <v>238</v>
      </c>
    </row>
    <row r="305" spans="1:19" x14ac:dyDescent="0.3">
      <c r="A305" s="446" t="s">
        <v>218</v>
      </c>
      <c r="B305" s="447" t="s">
        <v>126</v>
      </c>
      <c r="C305" s="448">
        <v>2282</v>
      </c>
      <c r="D305" s="449">
        <v>2442</v>
      </c>
      <c r="S305" s="216" t="s">
        <v>238</v>
      </c>
    </row>
    <row r="306" spans="1:19" x14ac:dyDescent="0.3">
      <c r="A306" s="446" t="s">
        <v>219</v>
      </c>
      <c r="B306" s="447" t="s">
        <v>126</v>
      </c>
      <c r="C306" s="448">
        <v>2282</v>
      </c>
      <c r="D306" s="449">
        <v>2442</v>
      </c>
      <c r="S306" s="216" t="s">
        <v>238</v>
      </c>
    </row>
    <row r="307" spans="1:19" x14ac:dyDescent="0.3">
      <c r="A307" s="446" t="s">
        <v>220</v>
      </c>
      <c r="B307" s="447" t="s">
        <v>126</v>
      </c>
      <c r="C307" s="448">
        <v>2282</v>
      </c>
      <c r="D307" s="449">
        <v>2442</v>
      </c>
      <c r="S307" s="216" t="s">
        <v>814</v>
      </c>
    </row>
    <row r="308" spans="1:19" x14ac:dyDescent="0.3">
      <c r="A308" s="446" t="s">
        <v>148</v>
      </c>
      <c r="B308" s="447" t="s">
        <v>126</v>
      </c>
      <c r="C308" s="448">
        <v>2282</v>
      </c>
      <c r="D308" s="449">
        <v>2442</v>
      </c>
      <c r="S308" s="216" t="s">
        <v>554</v>
      </c>
    </row>
    <row r="309" spans="1:19" x14ac:dyDescent="0.3">
      <c r="A309" s="446" t="s">
        <v>221</v>
      </c>
      <c r="B309" s="447" t="s">
        <v>126</v>
      </c>
      <c r="C309" s="448">
        <v>2282</v>
      </c>
      <c r="D309" s="449">
        <v>2442</v>
      </c>
      <c r="S309" s="216" t="s">
        <v>200</v>
      </c>
    </row>
    <row r="310" spans="1:19" x14ac:dyDescent="0.3">
      <c r="A310" s="446" t="s">
        <v>222</v>
      </c>
      <c r="B310" s="447" t="s">
        <v>126</v>
      </c>
      <c r="C310" s="448">
        <v>2282</v>
      </c>
      <c r="D310" s="449">
        <v>2442</v>
      </c>
      <c r="S310" s="216" t="s">
        <v>554</v>
      </c>
    </row>
    <row r="311" spans="1:19" x14ac:dyDescent="0.3">
      <c r="A311" s="446" t="s">
        <v>223</v>
      </c>
      <c r="B311" s="447" t="s">
        <v>126</v>
      </c>
      <c r="C311" s="448">
        <v>2282</v>
      </c>
      <c r="D311" s="449">
        <v>2442</v>
      </c>
      <c r="S311" s="216" t="s">
        <v>238</v>
      </c>
    </row>
    <row r="312" spans="1:19" x14ac:dyDescent="0.3">
      <c r="A312" s="446" t="s">
        <v>224</v>
      </c>
      <c r="B312" s="447" t="s">
        <v>126</v>
      </c>
      <c r="C312" s="448">
        <v>2282</v>
      </c>
      <c r="D312" s="449">
        <v>2442</v>
      </c>
      <c r="S312" s="216" t="s">
        <v>555</v>
      </c>
    </row>
    <row r="313" spans="1:19" x14ac:dyDescent="0.3">
      <c r="A313" s="446" t="s">
        <v>225</v>
      </c>
      <c r="B313" s="447" t="s">
        <v>126</v>
      </c>
      <c r="C313" s="448">
        <v>2282</v>
      </c>
      <c r="D313" s="449">
        <v>2442</v>
      </c>
      <c r="S313" s="216" t="s">
        <v>555</v>
      </c>
    </row>
    <row r="314" spans="1:19" x14ac:dyDescent="0.3">
      <c r="A314" s="446" t="s">
        <v>226</v>
      </c>
      <c r="B314" s="447" t="s">
        <v>126</v>
      </c>
      <c r="C314" s="448">
        <v>2282</v>
      </c>
      <c r="D314" s="449">
        <v>2442</v>
      </c>
      <c r="S314" s="216" t="s">
        <v>232</v>
      </c>
    </row>
    <row r="315" spans="1:19" x14ac:dyDescent="0.3">
      <c r="A315" s="446" t="s">
        <v>227</v>
      </c>
      <c r="B315" s="447" t="s">
        <v>126</v>
      </c>
      <c r="C315" s="448">
        <v>2282</v>
      </c>
      <c r="D315" s="449">
        <v>2442</v>
      </c>
      <c r="S315" s="216" t="s">
        <v>238</v>
      </c>
    </row>
    <row r="316" spans="1:19" x14ac:dyDescent="0.3">
      <c r="A316" s="446" t="s">
        <v>228</v>
      </c>
      <c r="B316" s="447" t="s">
        <v>126</v>
      </c>
      <c r="C316" s="448">
        <v>2282</v>
      </c>
      <c r="D316" s="449">
        <v>2442</v>
      </c>
      <c r="S316" s="216" t="s">
        <v>814</v>
      </c>
    </row>
    <row r="317" spans="1:19" x14ac:dyDescent="0.3">
      <c r="A317" s="446" t="s">
        <v>229</v>
      </c>
      <c r="B317" s="447" t="s">
        <v>126</v>
      </c>
      <c r="C317" s="448">
        <v>2282</v>
      </c>
      <c r="D317" s="449">
        <v>2442</v>
      </c>
      <c r="S317" s="216" t="s">
        <v>232</v>
      </c>
    </row>
    <row r="318" spans="1:19" x14ac:dyDescent="0.3">
      <c r="A318" s="446" t="s">
        <v>230</v>
      </c>
      <c r="B318" s="447" t="s">
        <v>126</v>
      </c>
      <c r="C318" s="448">
        <v>2282</v>
      </c>
      <c r="D318" s="449">
        <v>2442</v>
      </c>
      <c r="S318" s="216" t="s">
        <v>555</v>
      </c>
    </row>
    <row r="319" spans="1:19" x14ac:dyDescent="0.3">
      <c r="A319" s="446" t="s">
        <v>158</v>
      </c>
      <c r="B319" s="447" t="s">
        <v>126</v>
      </c>
      <c r="C319" s="448">
        <v>2282</v>
      </c>
      <c r="D319" s="449">
        <v>2442</v>
      </c>
      <c r="S319" s="216" t="s">
        <v>554</v>
      </c>
    </row>
    <row r="320" spans="1:19" x14ac:dyDescent="0.3">
      <c r="A320" s="446" t="s">
        <v>231</v>
      </c>
      <c r="B320" s="447" t="s">
        <v>126</v>
      </c>
      <c r="C320" s="448">
        <v>2282</v>
      </c>
      <c r="D320" s="449">
        <v>2442</v>
      </c>
      <c r="S320" s="216" t="s">
        <v>814</v>
      </c>
    </row>
    <row r="321" spans="1:19" x14ac:dyDescent="0.3">
      <c r="A321" s="446" t="s">
        <v>232</v>
      </c>
      <c r="B321" s="447" t="s">
        <v>126</v>
      </c>
      <c r="C321" s="448">
        <v>2282</v>
      </c>
      <c r="D321" s="449">
        <v>2442</v>
      </c>
      <c r="S321" s="216" t="s">
        <v>232</v>
      </c>
    </row>
    <row r="322" spans="1:19" x14ac:dyDescent="0.3">
      <c r="A322" s="446" t="s">
        <v>233</v>
      </c>
      <c r="B322" s="447" t="s">
        <v>126</v>
      </c>
      <c r="C322" s="448">
        <v>2282</v>
      </c>
      <c r="D322" s="449">
        <v>2442</v>
      </c>
      <c r="S322" s="216" t="s">
        <v>555</v>
      </c>
    </row>
    <row r="323" spans="1:19" x14ac:dyDescent="0.3">
      <c r="A323" s="446" t="s">
        <v>234</v>
      </c>
      <c r="B323" s="447" t="s">
        <v>126</v>
      </c>
      <c r="C323" s="448">
        <v>2282</v>
      </c>
      <c r="D323" s="449">
        <v>2442</v>
      </c>
      <c r="S323" s="216" t="s">
        <v>555</v>
      </c>
    </row>
    <row r="324" spans="1:19" x14ac:dyDescent="0.3">
      <c r="A324" s="446" t="s">
        <v>164</v>
      </c>
      <c r="B324" s="447" t="s">
        <v>126</v>
      </c>
      <c r="C324" s="448">
        <v>2282</v>
      </c>
      <c r="D324" s="449">
        <v>2442</v>
      </c>
      <c r="S324" s="216" t="s">
        <v>554</v>
      </c>
    </row>
    <row r="325" spans="1:19" x14ac:dyDescent="0.3">
      <c r="A325" s="446" t="s">
        <v>235</v>
      </c>
      <c r="B325" s="447" t="s">
        <v>126</v>
      </c>
      <c r="C325" s="448">
        <v>2282</v>
      </c>
      <c r="D325" s="449">
        <v>2442</v>
      </c>
      <c r="S325" s="216" t="s">
        <v>814</v>
      </c>
    </row>
    <row r="326" spans="1:19" x14ac:dyDescent="0.3">
      <c r="A326" s="446" t="s">
        <v>236</v>
      </c>
      <c r="B326" s="447" t="s">
        <v>126</v>
      </c>
      <c r="C326" s="448">
        <v>2282</v>
      </c>
      <c r="D326" s="449">
        <v>2442</v>
      </c>
      <c r="S326" s="216" t="s">
        <v>814</v>
      </c>
    </row>
    <row r="327" spans="1:19" x14ac:dyDescent="0.3">
      <c r="A327" s="446" t="s">
        <v>237</v>
      </c>
      <c r="B327" s="447" t="s">
        <v>126</v>
      </c>
      <c r="C327" s="448">
        <v>2282</v>
      </c>
      <c r="D327" s="449">
        <v>2442</v>
      </c>
      <c r="S327" s="216" t="s">
        <v>238</v>
      </c>
    </row>
    <row r="328" spans="1:19" x14ac:dyDescent="0.3">
      <c r="A328" s="446" t="s">
        <v>238</v>
      </c>
      <c r="B328" s="447" t="s">
        <v>126</v>
      </c>
      <c r="C328" s="448">
        <v>2282</v>
      </c>
      <c r="D328" s="449">
        <v>2442</v>
      </c>
      <c r="S328" s="216" t="s">
        <v>238</v>
      </c>
    </row>
    <row r="329" spans="1:19" x14ac:dyDescent="0.3">
      <c r="A329" s="446" t="s">
        <v>239</v>
      </c>
      <c r="B329" s="447" t="s">
        <v>126</v>
      </c>
      <c r="C329" s="448">
        <v>2282</v>
      </c>
      <c r="D329" s="449">
        <v>2442</v>
      </c>
      <c r="S329" s="216" t="s">
        <v>238</v>
      </c>
    </row>
    <row r="330" spans="1:19" x14ac:dyDescent="0.3">
      <c r="A330" s="446" t="s">
        <v>240</v>
      </c>
      <c r="B330" s="447" t="s">
        <v>126</v>
      </c>
      <c r="C330" s="448">
        <v>2282</v>
      </c>
      <c r="D330" s="449">
        <v>2442</v>
      </c>
      <c r="S330" s="216" t="s">
        <v>814</v>
      </c>
    </row>
    <row r="331" spans="1:19" x14ac:dyDescent="0.3">
      <c r="A331" s="446" t="s">
        <v>167</v>
      </c>
      <c r="B331" s="447" t="s">
        <v>126</v>
      </c>
      <c r="C331" s="448">
        <v>2282</v>
      </c>
      <c r="D331" s="449">
        <v>2442</v>
      </c>
      <c r="S331" s="216" t="s">
        <v>554</v>
      </c>
    </row>
    <row r="332" spans="1:19" x14ac:dyDescent="0.3">
      <c r="A332" s="446" t="s">
        <v>241</v>
      </c>
      <c r="B332" s="447" t="s">
        <v>126</v>
      </c>
      <c r="C332" s="448">
        <v>2282</v>
      </c>
      <c r="D332" s="449">
        <v>2442</v>
      </c>
      <c r="S332" s="216" t="s">
        <v>554</v>
      </c>
    </row>
    <row r="333" spans="1:19" x14ac:dyDescent="0.3">
      <c r="A333" s="446" t="s">
        <v>242</v>
      </c>
      <c r="B333" s="447" t="s">
        <v>126</v>
      </c>
      <c r="C333" s="448">
        <v>2282</v>
      </c>
      <c r="D333" s="449">
        <v>2442</v>
      </c>
      <c r="S333" s="216" t="s">
        <v>555</v>
      </c>
    </row>
    <row r="334" spans="1:19" x14ac:dyDescent="0.3">
      <c r="A334" s="446" t="s">
        <v>243</v>
      </c>
      <c r="B334" s="447" t="s">
        <v>126</v>
      </c>
      <c r="C334" s="448">
        <v>2282</v>
      </c>
      <c r="D334" s="449">
        <v>2442</v>
      </c>
      <c r="S334" s="216" t="s">
        <v>555</v>
      </c>
    </row>
    <row r="335" spans="1:19" x14ac:dyDescent="0.3">
      <c r="A335" s="446" t="s">
        <v>244</v>
      </c>
      <c r="B335" s="447" t="s">
        <v>126</v>
      </c>
      <c r="C335" s="448">
        <v>2282</v>
      </c>
      <c r="D335" s="449">
        <v>2442</v>
      </c>
      <c r="S335" s="216" t="s">
        <v>232</v>
      </c>
    </row>
    <row r="336" spans="1:19" x14ac:dyDescent="0.3">
      <c r="A336" s="446" t="s">
        <v>245</v>
      </c>
      <c r="B336" s="447" t="s">
        <v>126</v>
      </c>
      <c r="C336" s="448">
        <v>2282</v>
      </c>
      <c r="D336" s="449">
        <v>2442</v>
      </c>
      <c r="S336" s="216" t="s">
        <v>200</v>
      </c>
    </row>
    <row r="337" spans="1:19" x14ac:dyDescent="0.3">
      <c r="A337" s="446" t="s">
        <v>246</v>
      </c>
      <c r="B337" s="447" t="s">
        <v>126</v>
      </c>
      <c r="C337" s="448">
        <v>2282</v>
      </c>
      <c r="D337" s="449">
        <v>2442</v>
      </c>
      <c r="S337" s="216" t="s">
        <v>814</v>
      </c>
    </row>
    <row r="338" spans="1:19" x14ac:dyDescent="0.3">
      <c r="A338" s="446" t="s">
        <v>247</v>
      </c>
      <c r="B338" s="447" t="s">
        <v>126</v>
      </c>
      <c r="C338" s="448">
        <v>2282</v>
      </c>
      <c r="D338" s="449">
        <v>2442</v>
      </c>
      <c r="S338" s="216" t="s">
        <v>554</v>
      </c>
    </row>
    <row r="339" spans="1:19" x14ac:dyDescent="0.3">
      <c r="A339" s="446" t="s">
        <v>248</v>
      </c>
      <c r="B339" s="447" t="s">
        <v>126</v>
      </c>
      <c r="C339" s="448">
        <v>2282</v>
      </c>
      <c r="D339" s="449">
        <v>2442</v>
      </c>
      <c r="S339" s="216" t="s">
        <v>555</v>
      </c>
    </row>
    <row r="340" spans="1:19" x14ac:dyDescent="0.3">
      <c r="A340" s="446" t="s">
        <v>249</v>
      </c>
      <c r="B340" s="447" t="s">
        <v>126</v>
      </c>
      <c r="C340" s="448">
        <v>2282</v>
      </c>
      <c r="D340" s="449">
        <v>2442</v>
      </c>
      <c r="S340" s="216" t="s">
        <v>213</v>
      </c>
    </row>
    <row r="341" spans="1:19" x14ac:dyDescent="0.3">
      <c r="A341" s="446" t="s">
        <v>250</v>
      </c>
      <c r="B341" s="447" t="s">
        <v>126</v>
      </c>
      <c r="C341" s="448">
        <v>2282</v>
      </c>
      <c r="D341" s="449">
        <v>2442</v>
      </c>
      <c r="S341" s="216" t="s">
        <v>200</v>
      </c>
    </row>
    <row r="342" spans="1:19" x14ac:dyDescent="0.3">
      <c r="A342" s="446" t="s">
        <v>251</v>
      </c>
      <c r="B342" s="447" t="s">
        <v>126</v>
      </c>
      <c r="C342" s="448">
        <v>2282</v>
      </c>
      <c r="D342" s="449">
        <v>2442</v>
      </c>
      <c r="S342" s="216" t="s">
        <v>213</v>
      </c>
    </row>
    <row r="343" spans="1:19" x14ac:dyDescent="0.3">
      <c r="A343" s="446" t="s">
        <v>252</v>
      </c>
      <c r="B343" s="447" t="s">
        <v>126</v>
      </c>
      <c r="C343" s="448">
        <v>2282</v>
      </c>
      <c r="D343" s="449">
        <v>2442</v>
      </c>
      <c r="S343" s="216" t="s">
        <v>555</v>
      </c>
    </row>
    <row r="344" spans="1:19" x14ac:dyDescent="0.3">
      <c r="A344" s="446" t="s">
        <v>253</v>
      </c>
      <c r="B344" s="447" t="s">
        <v>126</v>
      </c>
      <c r="C344" s="448">
        <v>2282</v>
      </c>
      <c r="D344" s="449">
        <v>2442</v>
      </c>
      <c r="S344" s="216" t="s">
        <v>814</v>
      </c>
    </row>
    <row r="345" spans="1:19" x14ac:dyDescent="0.3">
      <c r="A345" s="446" t="s">
        <v>254</v>
      </c>
      <c r="B345" s="447" t="s">
        <v>126</v>
      </c>
      <c r="C345" s="448">
        <v>2282</v>
      </c>
      <c r="D345" s="449">
        <v>2442</v>
      </c>
      <c r="S345" s="216" t="s">
        <v>814</v>
      </c>
    </row>
    <row r="346" spans="1:19" x14ac:dyDescent="0.3">
      <c r="A346" s="446" t="s">
        <v>255</v>
      </c>
      <c r="B346" s="447" t="s">
        <v>126</v>
      </c>
      <c r="C346" s="448">
        <v>2282</v>
      </c>
      <c r="D346" s="449">
        <v>2442</v>
      </c>
      <c r="S346" s="216" t="s">
        <v>232</v>
      </c>
    </row>
    <row r="347" spans="1:19" x14ac:dyDescent="0.3">
      <c r="A347" s="446" t="s">
        <v>256</v>
      </c>
      <c r="B347" s="447" t="s">
        <v>126</v>
      </c>
      <c r="C347" s="448">
        <v>2282</v>
      </c>
      <c r="D347" s="449">
        <v>2442</v>
      </c>
      <c r="S347" s="216" t="s">
        <v>814</v>
      </c>
    </row>
    <row r="348" spans="1:19" x14ac:dyDescent="0.3">
      <c r="A348" s="446" t="s">
        <v>257</v>
      </c>
      <c r="B348" s="447" t="s">
        <v>126</v>
      </c>
      <c r="C348" s="448">
        <v>2282</v>
      </c>
      <c r="D348" s="449">
        <v>2442</v>
      </c>
      <c r="S348" s="216" t="s">
        <v>200</v>
      </c>
    </row>
    <row r="349" spans="1:19" x14ac:dyDescent="0.3">
      <c r="A349" s="446" t="s">
        <v>258</v>
      </c>
      <c r="B349" s="447" t="s">
        <v>126</v>
      </c>
      <c r="C349" s="448">
        <v>2282</v>
      </c>
      <c r="D349" s="449">
        <v>2442</v>
      </c>
      <c r="S349" s="216" t="s">
        <v>814</v>
      </c>
    </row>
    <row r="350" spans="1:19" x14ac:dyDescent="0.3">
      <c r="A350" s="446" t="s">
        <v>259</v>
      </c>
      <c r="B350" s="447" t="s">
        <v>126</v>
      </c>
      <c r="C350" s="448">
        <v>2282</v>
      </c>
      <c r="D350" s="449">
        <v>2442</v>
      </c>
      <c r="S350" s="216" t="s">
        <v>213</v>
      </c>
    </row>
    <row r="351" spans="1:19" x14ac:dyDescent="0.3">
      <c r="A351" s="446" t="s">
        <v>260</v>
      </c>
      <c r="B351" s="447" t="s">
        <v>126</v>
      </c>
      <c r="C351" s="448">
        <v>2282</v>
      </c>
      <c r="D351" s="449">
        <v>2442</v>
      </c>
      <c r="S351" s="216" t="s">
        <v>554</v>
      </c>
    </row>
    <row r="352" spans="1:19" x14ac:dyDescent="0.3">
      <c r="A352" s="446" t="s">
        <v>261</v>
      </c>
      <c r="B352" s="447" t="s">
        <v>126</v>
      </c>
      <c r="C352" s="448">
        <v>2282</v>
      </c>
      <c r="D352" s="449">
        <v>2442</v>
      </c>
      <c r="S352" s="216" t="s">
        <v>200</v>
      </c>
    </row>
    <row r="353" spans="1:19" x14ac:dyDescent="0.3">
      <c r="A353" s="446" t="s">
        <v>262</v>
      </c>
      <c r="B353" s="447" t="s">
        <v>126</v>
      </c>
      <c r="C353" s="448">
        <v>2282</v>
      </c>
      <c r="D353" s="449">
        <v>2442</v>
      </c>
      <c r="S353" s="216" t="s">
        <v>814</v>
      </c>
    </row>
  </sheetData>
  <sheetProtection algorithmName="SHA-512" hashValue="gTS6e5Ud9pjtyJrQ1bUdDOHnt3J10vngbrysVwuuLPue9+SZoQ6zZW9OuMawhsKm9p1Kf6qtIIQnXBRJfjsO+g==" saltValue="YEfS3C5rxUTMl7zvYTM1ZQ==" spinCount="100000" sheet="1" objects="1" scenarios="1"/>
  <mergeCells count="4">
    <mergeCell ref="A1:D1"/>
    <mergeCell ref="K9:M9"/>
    <mergeCell ref="K2:M2"/>
    <mergeCell ref="P7:P18"/>
  </mergeCells>
  <pageMargins left="0.25" right="0.25" top="0.75" bottom="0.75" header="0.3" footer="0.3"/>
  <pageSetup scale="49"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6C31E61891E5478C6FBDCD3A696DBC" ma:contentTypeVersion="11" ma:contentTypeDescription="Create a new document." ma:contentTypeScope="" ma:versionID="31c45c017e9ffc2263af80840df54cc2">
  <xsd:schema xmlns:xsd="http://www.w3.org/2001/XMLSchema" xmlns:xs="http://www.w3.org/2001/XMLSchema" xmlns:p="http://schemas.microsoft.com/office/2006/metadata/properties" xmlns:ns3="671e0266-3c76-4e29-b696-faecdcf5b8cc" xmlns:ns4="2443410f-325d-4680-b73a-30de03248812" targetNamespace="http://schemas.microsoft.com/office/2006/metadata/properties" ma:root="true" ma:fieldsID="8747b57ddc873f51f473873e97465f71" ns3:_="" ns4:_="">
    <xsd:import namespace="671e0266-3c76-4e29-b696-faecdcf5b8cc"/>
    <xsd:import namespace="2443410f-325d-4680-b73a-30de0324881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e0266-3c76-4e29-b696-faecdcf5b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43410f-325d-4680-b73a-30de0324881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544F4C-193C-414A-BEB0-478154218BFA}">
  <ds:schemaRefs>
    <ds:schemaRef ds:uri="http://schemas.microsoft.com/sharepoint/v3/contenttype/forms"/>
  </ds:schemaRefs>
</ds:datastoreItem>
</file>

<file path=customXml/itemProps2.xml><?xml version="1.0" encoding="utf-8"?>
<ds:datastoreItem xmlns:ds="http://schemas.openxmlformats.org/officeDocument/2006/customXml" ds:itemID="{843C1D48-E2D3-4B4B-8316-5AD023F15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1e0266-3c76-4e29-b696-faecdcf5b8cc"/>
    <ds:schemaRef ds:uri="2443410f-325d-4680-b73a-30de03248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A54DFB-94EB-444A-91A0-0F062BE52193}">
  <ds:schemaRef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2443410f-325d-4680-b73a-30de03248812"/>
    <ds:schemaRef ds:uri="671e0266-3c76-4e29-b696-faecdcf5b8c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103</vt:i4>
      </vt:variant>
    </vt:vector>
  </HeadingPairs>
  <TitlesOfParts>
    <vt:vector size="111" baseType="lpstr">
      <vt:lpstr>INSTRUCTIONS</vt:lpstr>
      <vt:lpstr>Application</vt:lpstr>
      <vt:lpstr>Approval Cover</vt:lpstr>
      <vt:lpstr>OSD Service Life of Assets</vt:lpstr>
      <vt:lpstr>CMR Reference</vt:lpstr>
      <vt:lpstr>Rates</vt:lpstr>
      <vt:lpstr>Data</vt:lpstr>
      <vt:lpstr>Cities &amp; Regions</vt:lpstr>
      <vt:lpstr>'Cities &amp; Regions'!_Hlk160522119</vt:lpstr>
      <vt:lpstr>ABIMonthlyCAP</vt:lpstr>
      <vt:lpstr>ABIMonthlyCAPplus1</vt:lpstr>
      <vt:lpstr>ActiveCap</vt:lpstr>
      <vt:lpstr>AgncySIg</vt:lpstr>
      <vt:lpstr>AgncySigDate</vt:lpstr>
      <vt:lpstr>ALTRCapacity</vt:lpstr>
      <vt:lpstr>AnnInterestConstr</vt:lpstr>
      <vt:lpstr>AnnInterestExisting</vt:lpstr>
      <vt:lpstr>AnnLeaseAmt</vt:lpstr>
      <vt:lpstr>AnnTotal</vt:lpstr>
      <vt:lpstr>AreaOffice</vt:lpstr>
      <vt:lpstr>BehavioralIntensity</vt:lpstr>
      <vt:lpstr>Break</vt:lpstr>
      <vt:lpstr>CapException</vt:lpstr>
      <vt:lpstr>CAPExemption</vt:lpstr>
      <vt:lpstr>CapIsApplied</vt:lpstr>
      <vt:lpstr>CapitalLease</vt:lpstr>
      <vt:lpstr>CEDACAppDate</vt:lpstr>
      <vt:lpstr>CEDACAPPLIED</vt:lpstr>
      <vt:lpstr>City</vt:lpstr>
      <vt:lpstr>CityRegRates</vt:lpstr>
      <vt:lpstr>ConstructionCompletionDate</vt:lpstr>
      <vt:lpstr>ConstructionCost</vt:lpstr>
      <vt:lpstr>ConstructionFinanced</vt:lpstr>
      <vt:lpstr>COnstructionInterestRate</vt:lpstr>
      <vt:lpstr>ConstructionTermOfLoan</vt:lpstr>
      <vt:lpstr>ContractType</vt:lpstr>
      <vt:lpstr>DailyCost</vt:lpstr>
      <vt:lpstr>DailyRate</vt:lpstr>
      <vt:lpstr>DDSABI</vt:lpstr>
      <vt:lpstr>DDSRes</vt:lpstr>
      <vt:lpstr>Engagement</vt:lpstr>
      <vt:lpstr>ExceptionRate</vt:lpstr>
      <vt:lpstr>ExistingHouse</vt:lpstr>
      <vt:lpstr>HouseFinanced</vt:lpstr>
      <vt:lpstr>HouseIntRate</vt:lpstr>
      <vt:lpstr>HouseLoanTerm</vt:lpstr>
      <vt:lpstr>InsCap</vt:lpstr>
      <vt:lpstr>LandCost</vt:lpstr>
      <vt:lpstr>LandFinanced</vt:lpstr>
      <vt:lpstr>Lease</vt:lpstr>
      <vt:lpstr>LeaseAmount</vt:lpstr>
      <vt:lpstr>LocationID</vt:lpstr>
      <vt:lpstr>LocIDDisplayOnly</vt:lpstr>
      <vt:lpstr>luContractType</vt:lpstr>
      <vt:lpstr>luRegionsMaxRates</vt:lpstr>
      <vt:lpstr>MCBRes</vt:lpstr>
      <vt:lpstr>MedicalIntensity</vt:lpstr>
      <vt:lpstr>MonthlyLease</vt:lpstr>
      <vt:lpstr>MortIntPiltRent</vt:lpstr>
      <vt:lpstr>MoveInCompleted</vt:lpstr>
      <vt:lpstr>MoveinDTProj</vt:lpstr>
      <vt:lpstr>MoveInPending</vt:lpstr>
      <vt:lpstr>MRCRes</vt:lpstr>
      <vt:lpstr>NewConstruction</vt:lpstr>
      <vt:lpstr>Notes</vt:lpstr>
      <vt:lpstr>OwnerOfRecord</vt:lpstr>
      <vt:lpstr>PctDeprecType3Bldg</vt:lpstr>
      <vt:lpstr>PerPersonBeforeOfffsets</vt:lpstr>
      <vt:lpstr>PILT</vt:lpstr>
      <vt:lpstr>PrepCOSIg</vt:lpstr>
      <vt:lpstr>PrepCOSIgDate</vt:lpstr>
      <vt:lpstr>PrepCOTitle</vt:lpstr>
      <vt:lpstr>Application!Print_Area</vt:lpstr>
      <vt:lpstr>'Approval Cover'!Print_Area</vt:lpstr>
      <vt:lpstr>'CMR Reference'!Print_Area</vt:lpstr>
      <vt:lpstr>ProjAnnExpenses</vt:lpstr>
      <vt:lpstr>ProviderName</vt:lpstr>
      <vt:lpstr>ProvRateApprovalDateExp</vt:lpstr>
      <vt:lpstr>ProvSig</vt:lpstr>
      <vt:lpstr>ProvSigDate</vt:lpstr>
      <vt:lpstr>ProvTitle</vt:lpstr>
      <vt:lpstr>Purchase</vt:lpstr>
      <vt:lpstr>Purchasedate</vt:lpstr>
      <vt:lpstr>PurchasePrice</vt:lpstr>
      <vt:lpstr>RateAndCapLogicTable</vt:lpstr>
      <vt:lpstr>RateApprovalType</vt:lpstr>
      <vt:lpstr>RateCapText</vt:lpstr>
      <vt:lpstr>RateCapValue</vt:lpstr>
      <vt:lpstr>RateTextValue</vt:lpstr>
      <vt:lpstr>RegCap</vt:lpstr>
      <vt:lpstr>RegCapPlus1</vt:lpstr>
      <vt:lpstr>RegionalCap</vt:lpstr>
      <vt:lpstr>RegionSelected</vt:lpstr>
      <vt:lpstr>RelatedPartyNo</vt:lpstr>
      <vt:lpstr>RelatedPartyYes</vt:lpstr>
      <vt:lpstr>ReplacesSite</vt:lpstr>
      <vt:lpstr>SiteApprovalDate</vt:lpstr>
      <vt:lpstr>SiteApprovalGTEQFY19</vt:lpstr>
      <vt:lpstr>SiteType</vt:lpstr>
      <vt:lpstr>SiteTypeEntry</vt:lpstr>
      <vt:lpstr>SiteTypeLookup</vt:lpstr>
      <vt:lpstr>State</vt:lpstr>
      <vt:lpstr>Street</vt:lpstr>
      <vt:lpstr>SubmissionDateWarning</vt:lpstr>
      <vt:lpstr>TotalCapacity</vt:lpstr>
      <vt:lpstr>TotalDepreciation</vt:lpstr>
      <vt:lpstr>UnitNumber</vt:lpstr>
      <vt:lpstr>Version</vt:lpstr>
      <vt:lpstr>x</vt:lpstr>
      <vt:lpstr>YesNoReplacement</vt:lpstr>
      <vt:lpstr>ZIP</vt:lpstr>
    </vt:vector>
  </TitlesOfParts>
  <Company>EHS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ALTR New Site Application</dc:title>
  <dc:creator>DDS Contracts &amp; EHS</dc:creator>
  <cp:lastModifiedBy>Hernandez, Victor (DDS)</cp:lastModifiedBy>
  <cp:lastPrinted>2024-10-09T18:27:07Z</cp:lastPrinted>
  <dcterms:created xsi:type="dcterms:W3CDTF">2014-12-30T13:35:10Z</dcterms:created>
  <dcterms:modified xsi:type="dcterms:W3CDTF">2025-02-26T19:08:08Z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0x010100FE6C31E61891E5478C6FBDCD3A696DBC</vt:lpwstr>
  </property>
</Properties>
</file>