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4197540E-8FC6-4DB0-9290-38EE5404AF42}" xr6:coauthVersionLast="47" xr6:coauthVersionMax="47" xr10:uidLastSave="{00000000-0000-0000-0000-000000000000}"/>
  <bookViews>
    <workbookView xWindow="2340" yWindow="435" windowWidth="26400" windowHeight="15045" tabRatio="827" firstSheet="2" activeTab="4" xr2:uid="{4B8F1F2E-E171-463F-AEFE-F9915A406608}"/>
  </bookViews>
  <sheets>
    <sheet name="CAF FALL 2022" sheetId="1" state="hidden" r:id="rId1"/>
    <sheet name="M2021 BLS SALARY CHART (53_PCT)" sheetId="2" state="hidden" r:id="rId2"/>
    <sheet name="M2023 BLS SALARY CHART (53rd)" sheetId="12" r:id="rId3"/>
    <sheet name="Fall CAF" sheetId="11" r:id="rId4"/>
    <sheet name="Forensic PACT Rate Budget" sheetId="5" r:id="rId5"/>
    <sheet name="PACT 50 Rate Budget" sheetId="3" r:id="rId6"/>
    <sheet name="PACT 80 Rate Budget" sheetId="4" r:id="rId7"/>
    <sheet name="Forensic GLE Budget" sheetId="6" r:id="rId8"/>
    <sheet name="PACT Youth" sheetId="8" r:id="rId9"/>
    <sheet name="Fiscal Impact FY22" sheetId="7"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Key1" localSheetId="8" hidden="1">#REF!</definedName>
    <definedName name="_Key1" hidden="1">#REF!</definedName>
    <definedName name="_Sort" localSheetId="8" hidden="1">#REF!</definedName>
    <definedName name="_Sort" hidden="1">#REF!</definedName>
    <definedName name="alldata" localSheetId="1">#REF!</definedName>
    <definedName name="alldata" localSheetId="2">#REF!</definedName>
    <definedName name="alldata" localSheetId="8">#REF!</definedName>
    <definedName name="alldata">#REF!</definedName>
    <definedName name="alled" localSheetId="1">#REF!</definedName>
    <definedName name="alled" localSheetId="2">#REF!</definedName>
    <definedName name="alled" localSheetId="8">#REF!</definedName>
    <definedName name="alled">#REF!</definedName>
    <definedName name="allstem" localSheetId="1">#REF!</definedName>
    <definedName name="allstem" localSheetId="2">#REF!</definedName>
    <definedName name="allstem" localSheetId="8">#REF!</definedName>
    <definedName name="allstem">#REF!</definedName>
    <definedName name="Area">[1]Sheet2!$A$2:$A$28</definedName>
    <definedName name="ARENEW">[2]amendA!$B$1:$U$51</definedName>
    <definedName name="asdfasd">'[3]Complete UFR List'!#REF!</definedName>
    <definedName name="asdfasdf" localSheetId="1">#REF!</definedName>
    <definedName name="asdfasdf" localSheetId="8">#N/A</definedName>
    <definedName name="asdfasdf">#REF!</definedName>
    <definedName name="ATTABOY">[2]amendA!$B$2:$S$2</definedName>
    <definedName name="AutoInsurance">[4]Universal!$C$19</definedName>
    <definedName name="autsupp2" localSheetId="8">#REF!</definedName>
    <definedName name="autsupp2">#REF!</definedName>
    <definedName name="Average" localSheetId="1">#REF!</definedName>
    <definedName name="Average" localSheetId="8">#N/A</definedName>
    <definedName name="Average">#REF!</definedName>
    <definedName name="BB6_4" localSheetId="8">#REF!</definedName>
    <definedName name="BB6_4">#REF!</definedName>
    <definedName name="CAF_NEW" localSheetId="8">[5]RawDataCalcs!$L$70:$DB$70</definedName>
    <definedName name="CAF_NEW">[6]RawDataCalcs!$L$70:$DB$70</definedName>
    <definedName name="Cap" localSheetId="1">[7]RawDataCalcs!$L$35:$DB$35</definedName>
    <definedName name="Cap" localSheetId="2">[7]RawDataCalcs!$L$35:$DB$35</definedName>
    <definedName name="Cap" localSheetId="8">[8]RawDataCalcs!$L$70:$DB$70</definedName>
    <definedName name="Cap">[9]RawDataCalcs!$L$70:$DB$70</definedName>
    <definedName name="capa">[10]RawDataCalcs!$L$17:$DB$17</definedName>
    <definedName name="COLA">[4]Universal!$C$12</definedName>
    <definedName name="Data" localSheetId="1">#REF!</definedName>
    <definedName name="Data" localSheetId="8">#N/A</definedName>
    <definedName name="Data">#REF!</definedName>
    <definedName name="Electricity">[4]Universal!$C$21</definedName>
    <definedName name="Fisc">'[3]Complete UFR List'!#REF!</definedName>
    <definedName name="FiveDay">[4]Universal!$C$17</definedName>
    <definedName name="Floor" localSheetId="1">[7]RawDataCalcs!$L$34:$DB$34</definedName>
    <definedName name="Floor" localSheetId="2">[7]RawDataCalcs!$L$34:$DB$34</definedName>
    <definedName name="Floor" localSheetId="8">[8]RawDataCalcs!$L$69:$DB$69</definedName>
    <definedName name="Floor">[9]RawDataCalcs!$L$69:$DB$69</definedName>
    <definedName name="Fringe">[4]Universal!$C$8</definedName>
    <definedName name="FROM">[2]amendA!$G$7</definedName>
    <definedName name="Funds" localSheetId="8">'[11]RawDataCalcs3386&amp;3401'!$L$68:$DB$68</definedName>
    <definedName name="Funds">'[12]RawDataCalcs3386&amp;3401'!$L$68:$DB$68</definedName>
    <definedName name="GA">[4]Universal!$C$13</definedName>
    <definedName name="Gas">[4]Universal!$C$22</definedName>
    <definedName name="gk" localSheetId="1">#REF!</definedName>
    <definedName name="gk" localSheetId="8">#N/A</definedName>
    <definedName name="gk">#REF!</definedName>
    <definedName name="hhh" localSheetId="1">#REF!</definedName>
    <definedName name="hhh" localSheetId="8">#N/A</definedName>
    <definedName name="hhh">#REF!</definedName>
    <definedName name="Holidays">[4]Universal!$C$49:$C$59</definedName>
    <definedName name="JailDAverage" localSheetId="1">#REF!</definedName>
    <definedName name="JailDAverage" localSheetId="8">#N/A</definedName>
    <definedName name="JailDAverage">#REF!</definedName>
    <definedName name="JailDCap" localSheetId="8">[13]ALLRawDataCalcs!$L$80:$DB$80</definedName>
    <definedName name="JailDCap">[14]ALLRawDataCalcs!$L$80:$DB$80</definedName>
    <definedName name="JailDFloor" localSheetId="8">[13]ALLRawDataCalcs!$L$79:$DB$79</definedName>
    <definedName name="JailDFloor">[14]ALLRawDataCalcs!$L$79:$DB$79</definedName>
    <definedName name="JailDgk" localSheetId="1">#REF!</definedName>
    <definedName name="JailDgk" localSheetId="8">#N/A</definedName>
    <definedName name="JailDgk">#REF!</definedName>
    <definedName name="JailDMax" localSheetId="1">#REF!</definedName>
    <definedName name="JailDMax" localSheetId="8">#N/A</definedName>
    <definedName name="JailDMax">#REF!</definedName>
    <definedName name="JailDMedian" localSheetId="1">#REF!</definedName>
    <definedName name="JailDMedian" localSheetId="8">#N/A</definedName>
    <definedName name="JailDMedian">#REF!</definedName>
    <definedName name="jm" localSheetId="8">'[3]Complete UFR List'!#REF!</definedName>
    <definedName name="jm">'[3]Complete UFR List'!#REF!</definedName>
    <definedName name="kls" localSheetId="1">#REF!</definedName>
    <definedName name="kls" localSheetId="8">#N/A</definedName>
    <definedName name="kls">#REF!</definedName>
    <definedName name="ListProviders">'[15]List of Programs'!$A$24:$A$29</definedName>
    <definedName name="Max" localSheetId="1">#REF!</definedName>
    <definedName name="Max" localSheetId="8">#N/A</definedName>
    <definedName name="Max">#REF!</definedName>
    <definedName name="Median" localSheetId="1">#REF!</definedName>
    <definedName name="Median" localSheetId="8">#N/A</definedName>
    <definedName name="Median">#REF!</definedName>
    <definedName name="Min" localSheetId="1">#REF!</definedName>
    <definedName name="Min" localSheetId="8">#N/A</definedName>
    <definedName name="Min">#REF!</definedName>
    <definedName name="mr" localSheetId="8">#REF!</definedName>
    <definedName name="mr">#REF!</definedName>
    <definedName name="MT" localSheetId="1">#REF!</definedName>
    <definedName name="MT" localSheetId="8">#N/A</definedName>
    <definedName name="MT">#REF!</definedName>
    <definedName name="new" localSheetId="1">#REF!</definedName>
    <definedName name="new" localSheetId="8">#N/A</definedName>
    <definedName name="new">#REF!</definedName>
    <definedName name="Oil">[4]Universal!$C$23</definedName>
    <definedName name="ok" localSheetId="1">#REF!</definedName>
    <definedName name="ok" localSheetId="8">#N/A</definedName>
    <definedName name="ok">#REF!</definedName>
    <definedName name="Paydays">[4]Universal!$C$33:$N$33</definedName>
    <definedName name="Phone">[4]Universal!$C$25</definedName>
    <definedName name="_xlnm.Print_Area" localSheetId="7">'Forensic GLE Budget'!$G$1:$N$29</definedName>
    <definedName name="_xlnm.Print_Area" localSheetId="1">'M2021 BLS SALARY CHART (53_PCT)'!$B$1:$E$46</definedName>
    <definedName name="_xlnm.Print_Area" localSheetId="2">'M2023 BLS SALARY CHART (53rd)'!$B$1:$E$46</definedName>
    <definedName name="_xlnm.Print_Area" localSheetId="5">'PACT 50 Rate Budget'!$G$1:$N$34</definedName>
    <definedName name="_xlnm.Print_Area" localSheetId="6">'PACT 80 Rate Budget'!$A$1:$N$39</definedName>
    <definedName name="_xlnm.Print_Area" localSheetId="8">#N/A</definedName>
    <definedName name="_xlnm.Print_Titles" localSheetId="0">'CAF FALL 2022'!$A:$A</definedName>
    <definedName name="_xlnm.Print_Titles" localSheetId="3">'Fall CAF'!$A:$A</definedName>
    <definedName name="Program_File" localSheetId="1">#REF!</definedName>
    <definedName name="Program_File" localSheetId="8">#N/A</definedName>
    <definedName name="Program_File">#REF!</definedName>
    <definedName name="Programs">'[15]List of Programs'!$B$3:$B$19</definedName>
    <definedName name="PropInsurance">[4]Universal!$C$20</definedName>
    <definedName name="ProvFTE">'[16]FTE Data'!$A$3:$AW$56</definedName>
    <definedName name="PTO_Hours">[4]Universal!$F$72:$F$78</definedName>
    <definedName name="PTO_Years">[4]Universal!$B$72:$B$78</definedName>
    <definedName name="PurchasedBy">'[16]FTE Data'!$C$263:$AZ$657</definedName>
    <definedName name="REGION">[1]Sheet2!$B$1:$B$5</definedName>
    <definedName name="Relief">[4]Universal!$C$14</definedName>
    <definedName name="resmay2007" localSheetId="1">#REF!</definedName>
    <definedName name="resmay2007" localSheetId="8">#N/A</definedName>
    <definedName name="resmay2007">#REF!</definedName>
    <definedName name="SevenDay">[4]Universal!$C$18</definedName>
    <definedName name="sheet1" localSheetId="1">#REF!</definedName>
    <definedName name="sheet1" localSheetId="2">#REF!</definedName>
    <definedName name="sheet1" localSheetId="8">#REF!</definedName>
    <definedName name="sheet1">#REF!</definedName>
    <definedName name="Site_list">[16]Lists!$A$2:$A$53</definedName>
    <definedName name="Source" localSheetId="1">#REF!</definedName>
    <definedName name="Source" localSheetId="8">#N/A</definedName>
    <definedName name="Source">#REF!</definedName>
    <definedName name="Source_2" localSheetId="1">#REF!</definedName>
    <definedName name="Source_2" localSheetId="8">#N/A</definedName>
    <definedName name="Source_2">#REF!</definedName>
    <definedName name="SourcePathAndFileName" localSheetId="1">#REF!</definedName>
    <definedName name="SourcePathAndFileName" localSheetId="8">#N/A</definedName>
    <definedName name="SourcePathAndFileName">#REF!</definedName>
    <definedName name="StaffApp">[4]Universal!$C$11</definedName>
    <definedName name="Tax">[4]Universal!$C$7</definedName>
    <definedName name="TO">[2]amendA!$K$7:$O$7</definedName>
    <definedName name="Total_UFR" localSheetId="1">#REF!</definedName>
    <definedName name="Total_UFR" localSheetId="8">#N/A</definedName>
    <definedName name="Total_UFR">#REF!</definedName>
    <definedName name="Total_UFRs" localSheetId="1">#REF!</definedName>
    <definedName name="Total_UFRs" localSheetId="8">#N/A</definedName>
    <definedName name="Total_UFRs">#REF!</definedName>
    <definedName name="Total_UFRs_" localSheetId="1">#REF!</definedName>
    <definedName name="Total_UFRs_" localSheetId="8">#N/A</definedName>
    <definedName name="Total_UFRs_">#REF!</definedName>
    <definedName name="TotalDays">[4]Universal!$C$30:$N$30</definedName>
    <definedName name="UFR" localSheetId="1">'[3]Complete UFR List'!#REF!</definedName>
    <definedName name="UFR" localSheetId="8">'[3]Complete UFR List'!#REF!</definedName>
    <definedName name="UFR">'[3]Complete UFR List'!#REF!</definedName>
    <definedName name="UFRS" localSheetId="8">'[3]Complete UFR List'!#REF!</definedName>
    <definedName name="UFRS">'[3]Complete UFR List'!#REF!</definedName>
    <definedName name="UPDATE" localSheetId="8">'[3]Complete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'[3]Complete UFR List'!#REF!</definedName>
    <definedName name="yes">'[3]Complete UFR List'!#REF!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8" l="1"/>
  <c r="J26" i="8"/>
  <c r="M16" i="6"/>
  <c r="M28" i="4"/>
  <c r="M27" i="3"/>
  <c r="I26" i="3"/>
  <c r="M26" i="3"/>
  <c r="I25" i="3"/>
  <c r="M26" i="5"/>
  <c r="M25" i="5"/>
  <c r="I25" i="5"/>
  <c r="I24" i="5"/>
  <c r="M17" i="6" l="1"/>
  <c r="J21" i="8" l="1"/>
  <c r="Q20" i="8"/>
  <c r="M32" i="3"/>
  <c r="M25" i="3"/>
  <c r="I30" i="5"/>
  <c r="I20" i="5"/>
  <c r="M6" i="5" l="1"/>
  <c r="C52" i="12"/>
  <c r="J52" i="12" s="1"/>
  <c r="J45" i="12"/>
  <c r="J44" i="12"/>
  <c r="C31" i="12" l="1"/>
  <c r="C33" i="12"/>
  <c r="C15" i="12"/>
  <c r="C19" i="12"/>
  <c r="C21" i="12"/>
  <c r="C51" i="12"/>
  <c r="J51" i="12" s="1"/>
  <c r="C50" i="12"/>
  <c r="J50" i="12" s="1"/>
  <c r="C16" i="12" l="1"/>
  <c r="J16" i="12" s="1"/>
  <c r="K16" i="12" s="1"/>
  <c r="J15" i="12"/>
  <c r="K15" i="12" s="1"/>
  <c r="C22" i="12"/>
  <c r="J21" i="12"/>
  <c r="K21" i="12" s="1"/>
  <c r="C34" i="12"/>
  <c r="J33" i="12"/>
  <c r="K33" i="12" s="1"/>
  <c r="J19" i="12"/>
  <c r="K19" i="12" s="1"/>
  <c r="C20" i="12"/>
  <c r="J20" i="12" s="1"/>
  <c r="K20" i="12" s="1"/>
  <c r="C32" i="12"/>
  <c r="J31" i="12"/>
  <c r="K31" i="12" s="1"/>
  <c r="C17" i="12"/>
  <c r="C10" i="12"/>
  <c r="J10" i="12" s="1"/>
  <c r="K10" i="12" s="1"/>
  <c r="C9" i="12"/>
  <c r="J9" i="12" s="1"/>
  <c r="K9" i="12" s="1"/>
  <c r="C5" i="12"/>
  <c r="J32" i="12" l="1"/>
  <c r="K32" i="12" s="1"/>
  <c r="M7" i="4"/>
  <c r="M7" i="3"/>
  <c r="M7" i="5"/>
  <c r="Q8" i="8"/>
  <c r="M5" i="4"/>
  <c r="M4" i="6"/>
  <c r="M5" i="3"/>
  <c r="M5" i="5"/>
  <c r="J34" i="12"/>
  <c r="K34" i="12" s="1"/>
  <c r="C46" i="12"/>
  <c r="J46" i="12" s="1"/>
  <c r="J22" i="12"/>
  <c r="K22" i="12" s="1"/>
  <c r="C18" i="12"/>
  <c r="J17" i="12"/>
  <c r="K17" i="12" s="1"/>
  <c r="C6" i="12"/>
  <c r="J5" i="12"/>
  <c r="K5" i="12" s="1"/>
  <c r="C27" i="12"/>
  <c r="C11" i="12"/>
  <c r="Q15" i="8" l="1"/>
  <c r="Q16" i="8" s="1"/>
  <c r="Q17" i="8" s="1"/>
  <c r="M11" i="5"/>
  <c r="M12" i="5" s="1"/>
  <c r="M6" i="6"/>
  <c r="M7" i="6" s="1"/>
  <c r="M11" i="4"/>
  <c r="M12" i="4" s="1"/>
  <c r="M11" i="3"/>
  <c r="M12" i="3" s="1"/>
  <c r="M8" i="3"/>
  <c r="M4" i="4"/>
  <c r="M5" i="6"/>
  <c r="M8" i="4"/>
  <c r="M4" i="3"/>
  <c r="Q6" i="8"/>
  <c r="M4" i="5"/>
  <c r="M9" i="5"/>
  <c r="J11" i="12"/>
  <c r="K11" i="12" s="1"/>
  <c r="C12" i="12"/>
  <c r="J12" i="12" s="1"/>
  <c r="K12" i="12" s="1"/>
  <c r="C23" i="12"/>
  <c r="J18" i="12"/>
  <c r="K18" i="12" s="1"/>
  <c r="C13" i="12"/>
  <c r="J27" i="12"/>
  <c r="K27" i="12" s="1"/>
  <c r="C28" i="12"/>
  <c r="C7" i="12"/>
  <c r="C36" i="12"/>
  <c r="J6" i="12"/>
  <c r="K6" i="12" s="1"/>
  <c r="C47" i="12"/>
  <c r="J47" i="12" s="1"/>
  <c r="J28" i="12" l="1"/>
  <c r="K28" i="12" s="1"/>
  <c r="Q5" i="8"/>
  <c r="C14" i="12"/>
  <c r="J13" i="12"/>
  <c r="K13" i="12" s="1"/>
  <c r="C8" i="12"/>
  <c r="J7" i="12"/>
  <c r="K7" i="12" s="1"/>
  <c r="C25" i="12"/>
  <c r="C24" i="12"/>
  <c r="J23" i="12"/>
  <c r="K23" i="12" s="1"/>
  <c r="C29" i="12"/>
  <c r="J24" i="12" l="1"/>
  <c r="K24" i="12" s="1"/>
  <c r="Q9" i="8"/>
  <c r="M10" i="4"/>
  <c r="M10" i="3"/>
  <c r="M10" i="5"/>
  <c r="Q12" i="8"/>
  <c r="C54" i="12"/>
  <c r="Q13" i="8" s="1"/>
  <c r="J14" i="12"/>
  <c r="K14" i="12" s="1"/>
  <c r="M9" i="3"/>
  <c r="Q10" i="8"/>
  <c r="M8" i="5"/>
  <c r="C26" i="12"/>
  <c r="J26" i="12" s="1"/>
  <c r="K26" i="12" s="1"/>
  <c r="J25" i="12"/>
  <c r="K25" i="12" s="1"/>
  <c r="C30" i="12"/>
  <c r="J30" i="12" s="1"/>
  <c r="K30" i="12" s="1"/>
  <c r="J29" i="12"/>
  <c r="K29" i="12" s="1"/>
  <c r="J8" i="12"/>
  <c r="K8" i="12" s="1"/>
  <c r="K35" i="12" s="1"/>
  <c r="C49" i="12"/>
  <c r="J49" i="12" s="1"/>
  <c r="C48" i="12"/>
  <c r="J48" i="12" s="1"/>
  <c r="CN36" i="11" l="1"/>
  <c r="CM36" i="11"/>
  <c r="CL36" i="11"/>
  <c r="CK36" i="11"/>
  <c r="CJ36" i="11"/>
  <c r="CI36" i="11"/>
  <c r="CH36" i="11"/>
  <c r="CG36" i="11"/>
  <c r="CP36" i="11" s="1"/>
  <c r="CP38" i="11" s="1"/>
  <c r="CJ34" i="11"/>
  <c r="CI34" i="11"/>
  <c r="CH34" i="11"/>
  <c r="CG31" i="11"/>
  <c r="CP31" i="11" s="1"/>
  <c r="CN21" i="11"/>
  <c r="CM21" i="11"/>
  <c r="CL21" i="11"/>
  <c r="CK21" i="11"/>
  <c r="CJ21" i="11"/>
  <c r="CI21" i="11"/>
  <c r="CH21" i="11"/>
  <c r="CG21" i="11"/>
  <c r="CP21" i="11" s="1"/>
  <c r="CP23" i="11" s="1"/>
  <c r="CN19" i="11"/>
  <c r="CN34" i="11" s="1"/>
  <c r="CM19" i="11"/>
  <c r="CM34" i="11" s="1"/>
  <c r="CL19" i="11"/>
  <c r="CL34" i="11" s="1"/>
  <c r="CK19" i="11"/>
  <c r="CK34" i="11" s="1"/>
  <c r="CJ19" i="11"/>
  <c r="CI19" i="11"/>
  <c r="CH19" i="11"/>
  <c r="CG19" i="11"/>
  <c r="CG34" i="11" s="1"/>
  <c r="CG16" i="11"/>
  <c r="CP16" i="11" s="1"/>
  <c r="I15" i="3" l="1"/>
  <c r="H14" i="4"/>
  <c r="D25" i="8" l="1"/>
  <c r="J25" i="8"/>
  <c r="Q22" i="8"/>
  <c r="E23" i="8" s="1"/>
  <c r="F23" i="8" s="1"/>
  <c r="K23" i="8"/>
  <c r="L23" i="8" s="1"/>
  <c r="E22" i="8"/>
  <c r="J20" i="8"/>
  <c r="E18" i="8"/>
  <c r="J17" i="8"/>
  <c r="L17" i="8" s="1"/>
  <c r="B17" i="8"/>
  <c r="D16" i="8"/>
  <c r="F16" i="8" s="1"/>
  <c r="H16" i="8"/>
  <c r="B16" i="8"/>
  <c r="J16" i="8"/>
  <c r="L16" i="8" s="1"/>
  <c r="K15" i="8"/>
  <c r="H15" i="8"/>
  <c r="B15" i="8"/>
  <c r="K14" i="8"/>
  <c r="H14" i="8"/>
  <c r="B14" i="8"/>
  <c r="J15" i="8"/>
  <c r="L15" i="8" s="1"/>
  <c r="J13" i="8"/>
  <c r="L13" i="8" s="1"/>
  <c r="H13" i="8"/>
  <c r="D13" i="8"/>
  <c r="F13" i="8" s="1"/>
  <c r="B13" i="8"/>
  <c r="J14" i="8"/>
  <c r="L14" i="8" s="1"/>
  <c r="H12" i="8"/>
  <c r="D12" i="8"/>
  <c r="F12" i="8" s="1"/>
  <c r="B12" i="8"/>
  <c r="H11" i="8"/>
  <c r="D11" i="8"/>
  <c r="F11" i="8" s="1"/>
  <c r="B11" i="8"/>
  <c r="J11" i="8"/>
  <c r="L11" i="8" s="1"/>
  <c r="H10" i="8"/>
  <c r="Q11" i="8"/>
  <c r="J12" i="8" s="1"/>
  <c r="L12" i="8" s="1"/>
  <c r="H9" i="8"/>
  <c r="B9" i="8"/>
  <c r="J10" i="8"/>
  <c r="L10" i="8" s="1"/>
  <c r="H8" i="8"/>
  <c r="B8" i="8"/>
  <c r="Q7" i="8"/>
  <c r="J9" i="8" s="1"/>
  <c r="L9" i="8" s="1"/>
  <c r="H7" i="8"/>
  <c r="J8" i="8"/>
  <c r="L8" i="8" s="1"/>
  <c r="L4" i="8"/>
  <c r="F4" i="8"/>
  <c r="K18" i="8" l="1"/>
  <c r="F22" i="8"/>
  <c r="D17" i="8"/>
  <c r="F17" i="8" s="1"/>
  <c r="D15" i="8"/>
  <c r="F15" i="8" s="1"/>
  <c r="D20" i="8"/>
  <c r="D9" i="8"/>
  <c r="F9" i="8" s="1"/>
  <c r="D14" i="8"/>
  <c r="F14" i="8" s="1"/>
  <c r="D36" i="7" l="1"/>
  <c r="C36" i="7"/>
  <c r="D35" i="7"/>
  <c r="C35" i="7"/>
  <c r="D34" i="7"/>
  <c r="D37" i="7" s="1"/>
  <c r="C34" i="7"/>
  <c r="J25" i="7"/>
  <c r="H29" i="7" s="1"/>
  <c r="I25" i="7"/>
  <c r="H25" i="7"/>
  <c r="G25" i="7"/>
  <c r="F25" i="7"/>
  <c r="K24" i="7"/>
  <c r="K23" i="7"/>
  <c r="K22" i="7"/>
  <c r="K21" i="7"/>
  <c r="K20" i="7"/>
  <c r="K19" i="7"/>
  <c r="K18" i="7"/>
  <c r="K17" i="7"/>
  <c r="K16" i="7"/>
  <c r="K15" i="7"/>
  <c r="K14" i="7"/>
  <c r="K13" i="7"/>
  <c r="K12" i="7"/>
  <c r="K11" i="7"/>
  <c r="K10" i="7"/>
  <c r="K9" i="7"/>
  <c r="K8" i="7"/>
  <c r="K7" i="7"/>
  <c r="H28" i="6"/>
  <c r="C26" i="6"/>
  <c r="C24" i="6"/>
  <c r="N22" i="6"/>
  <c r="I19" i="6"/>
  <c r="B19" i="6"/>
  <c r="G20" i="6" s="1"/>
  <c r="M18" i="6"/>
  <c r="C22" i="6" s="1"/>
  <c r="I18" i="6"/>
  <c r="J18" i="6" s="1"/>
  <c r="D18" i="6"/>
  <c r="B18" i="6"/>
  <c r="G19" i="6" s="1"/>
  <c r="D19" i="6"/>
  <c r="D17" i="6"/>
  <c r="E17" i="6" s="1"/>
  <c r="B17" i="6"/>
  <c r="G18" i="6" s="1"/>
  <c r="L12" i="6"/>
  <c r="L10" i="6"/>
  <c r="D10" i="6"/>
  <c r="L9" i="6"/>
  <c r="I9" i="6"/>
  <c r="I10" i="6" s="1"/>
  <c r="G9" i="6"/>
  <c r="E9" i="6"/>
  <c r="D9" i="6"/>
  <c r="C9" i="6"/>
  <c r="I8" i="6"/>
  <c r="D8" i="6"/>
  <c r="I7" i="6"/>
  <c r="D7" i="6"/>
  <c r="N4" i="6"/>
  <c r="J3" i="6"/>
  <c r="E3" i="6"/>
  <c r="B40" i="5"/>
  <c r="D33" i="5"/>
  <c r="N31" i="5"/>
  <c r="D30" i="5"/>
  <c r="M27" i="5"/>
  <c r="D28" i="5" s="1"/>
  <c r="B25" i="5"/>
  <c r="G25" i="5" s="1"/>
  <c r="D24" i="5"/>
  <c r="B24" i="5"/>
  <c r="G24" i="5" s="1"/>
  <c r="L22" i="5"/>
  <c r="L21" i="5"/>
  <c r="L20" i="5"/>
  <c r="L18" i="5"/>
  <c r="L17" i="5"/>
  <c r="L16" i="5"/>
  <c r="I16" i="5"/>
  <c r="L15" i="5"/>
  <c r="I15" i="5"/>
  <c r="D15" i="5"/>
  <c r="L14" i="5"/>
  <c r="I14" i="5"/>
  <c r="D14" i="5"/>
  <c r="D13" i="5"/>
  <c r="I12" i="5"/>
  <c r="G12" i="5"/>
  <c r="I11" i="5"/>
  <c r="G11" i="5"/>
  <c r="D11" i="5"/>
  <c r="I10" i="5"/>
  <c r="D10" i="5"/>
  <c r="I9" i="5"/>
  <c r="H9" i="5"/>
  <c r="D9" i="5"/>
  <c r="I7" i="5"/>
  <c r="D7" i="5"/>
  <c r="C9" i="5"/>
  <c r="I6" i="5"/>
  <c r="D6" i="5"/>
  <c r="J3" i="5"/>
  <c r="E3" i="5"/>
  <c r="H34" i="4"/>
  <c r="C34" i="4"/>
  <c r="N33" i="4"/>
  <c r="L33" i="4"/>
  <c r="G31" i="4" s="1"/>
  <c r="D31" i="4"/>
  <c r="N29" i="4"/>
  <c r="N27" i="5" s="1"/>
  <c r="N18" i="6" s="1"/>
  <c r="M29" i="4"/>
  <c r="D29" i="4" s="1"/>
  <c r="N28" i="4"/>
  <c r="D26" i="4"/>
  <c r="N27" i="4"/>
  <c r="B26" i="4"/>
  <c r="G26" i="4" s="1"/>
  <c r="B25" i="4"/>
  <c r="G25" i="4" s="1"/>
  <c r="L24" i="4"/>
  <c r="L23" i="4"/>
  <c r="L22" i="4"/>
  <c r="L21" i="4"/>
  <c r="L19" i="4"/>
  <c r="L18" i="4"/>
  <c r="L17" i="4"/>
  <c r="L16" i="4"/>
  <c r="D16" i="4"/>
  <c r="I17" i="4" s="1"/>
  <c r="L15" i="4"/>
  <c r="J14" i="4"/>
  <c r="D14" i="4"/>
  <c r="D13" i="4"/>
  <c r="I15" i="4" s="1"/>
  <c r="I12" i="4"/>
  <c r="G12" i="4"/>
  <c r="I11" i="4"/>
  <c r="G11" i="4"/>
  <c r="D11" i="4"/>
  <c r="D10" i="4"/>
  <c r="D9" i="4"/>
  <c r="I9" i="4" s="1"/>
  <c r="D7" i="4"/>
  <c r="N6" i="4"/>
  <c r="N6" i="5" s="1"/>
  <c r="M6" i="4"/>
  <c r="C9" i="4" s="1"/>
  <c r="H9" i="4" s="1"/>
  <c r="I6" i="4"/>
  <c r="D6" i="4"/>
  <c r="N5" i="4"/>
  <c r="J3" i="4"/>
  <c r="E3" i="4"/>
  <c r="D33" i="3"/>
  <c r="I33" i="3" s="1"/>
  <c r="D30" i="3"/>
  <c r="G30" i="3"/>
  <c r="M28" i="3"/>
  <c r="D28" i="3" s="1"/>
  <c r="D25" i="5"/>
  <c r="B25" i="3"/>
  <c r="G26" i="3" s="1"/>
  <c r="B24" i="3"/>
  <c r="G25" i="3" s="1"/>
  <c r="L23" i="3"/>
  <c r="L21" i="3"/>
  <c r="L20" i="3"/>
  <c r="L17" i="3"/>
  <c r="L16" i="3"/>
  <c r="I17" i="3"/>
  <c r="L15" i="3"/>
  <c r="I16" i="3"/>
  <c r="G16" i="3"/>
  <c r="D15" i="3"/>
  <c r="L14" i="3"/>
  <c r="I14" i="3"/>
  <c r="D13" i="3"/>
  <c r="I12" i="3"/>
  <c r="I11" i="3"/>
  <c r="D11" i="3"/>
  <c r="I10" i="3"/>
  <c r="D10" i="3"/>
  <c r="L9" i="3"/>
  <c r="I9" i="3"/>
  <c r="D9" i="3"/>
  <c r="D16" i="3" s="1"/>
  <c r="D18" i="3" s="1"/>
  <c r="L8" i="3"/>
  <c r="L18" i="3" s="1"/>
  <c r="I7" i="3"/>
  <c r="D7" i="3"/>
  <c r="M6" i="3"/>
  <c r="C9" i="3" s="1"/>
  <c r="I6" i="3"/>
  <c r="D6" i="3"/>
  <c r="J3" i="3"/>
  <c r="E3" i="3"/>
  <c r="C46" i="2"/>
  <c r="C38" i="2"/>
  <c r="C33" i="2"/>
  <c r="C34" i="2" s="1"/>
  <c r="C31" i="2"/>
  <c r="C32" i="2" s="1"/>
  <c r="C10" i="4" s="1"/>
  <c r="H10" i="4" s="1"/>
  <c r="C29" i="2"/>
  <c r="C30" i="2" s="1"/>
  <c r="C27" i="2"/>
  <c r="C28" i="2" s="1"/>
  <c r="C25" i="2"/>
  <c r="C26" i="2" s="1"/>
  <c r="C23" i="2"/>
  <c r="C24" i="2" s="1"/>
  <c r="C21" i="2"/>
  <c r="C22" i="2" s="1"/>
  <c r="C19" i="2"/>
  <c r="C20" i="2" s="1"/>
  <c r="C17" i="2"/>
  <c r="C18" i="2" s="1"/>
  <c r="C15" i="2"/>
  <c r="C16" i="2" s="1"/>
  <c r="C13" i="2"/>
  <c r="C14" i="2" s="1"/>
  <c r="C11" i="2"/>
  <c r="C12" i="2" s="1"/>
  <c r="C9" i="2"/>
  <c r="C10" i="2" s="1"/>
  <c r="C7" i="2"/>
  <c r="C8" i="2" s="1"/>
  <c r="C5" i="2"/>
  <c r="C6" i="2" s="1"/>
  <c r="CI24" i="1"/>
  <c r="CH24" i="1"/>
  <c r="CG24" i="1"/>
  <c r="CF24" i="1"/>
  <c r="CE24" i="1"/>
  <c r="CD24" i="1"/>
  <c r="CC24" i="1"/>
  <c r="CB24" i="1"/>
  <c r="CI23" i="1"/>
  <c r="CH23" i="1"/>
  <c r="CG23" i="1"/>
  <c r="CF23" i="1"/>
  <c r="CE23" i="1"/>
  <c r="CD23" i="1"/>
  <c r="CC23" i="1"/>
  <c r="CB23" i="1"/>
  <c r="CI22" i="1"/>
  <c r="CH22" i="1"/>
  <c r="CG22" i="1"/>
  <c r="CF22" i="1"/>
  <c r="CE22" i="1"/>
  <c r="CD22" i="1"/>
  <c r="CC22" i="1"/>
  <c r="CB22" i="1"/>
  <c r="CB19" i="1"/>
  <c r="CK19" i="1" s="1"/>
  <c r="CB17" i="1"/>
  <c r="J7" i="8" l="1"/>
  <c r="L7" i="8" s="1"/>
  <c r="L18" i="8" s="1"/>
  <c r="L20" i="8" s="1"/>
  <c r="D8" i="8"/>
  <c r="F8" i="8" s="1"/>
  <c r="F18" i="8" s="1"/>
  <c r="F20" i="8" s="1"/>
  <c r="F21" i="8" s="1"/>
  <c r="F24" i="8" s="1"/>
  <c r="D25" i="3"/>
  <c r="H9" i="3"/>
  <c r="J9" i="5"/>
  <c r="E18" i="6"/>
  <c r="J9" i="3"/>
  <c r="I19" i="3"/>
  <c r="J26" i="3" s="1"/>
  <c r="K25" i="7"/>
  <c r="E9" i="3"/>
  <c r="J19" i="6"/>
  <c r="CK24" i="1"/>
  <c r="CK26" i="1" s="1"/>
  <c r="E9" i="5"/>
  <c r="L31" i="5"/>
  <c r="G30" i="5" s="1"/>
  <c r="I12" i="6"/>
  <c r="E19" i="6"/>
  <c r="G26" i="7"/>
  <c r="I20" i="6"/>
  <c r="J20" i="6" s="1"/>
  <c r="C7" i="4"/>
  <c r="H7" i="4" s="1"/>
  <c r="J25" i="5"/>
  <c r="H11" i="5"/>
  <c r="J11" i="5" s="1"/>
  <c r="C11" i="5"/>
  <c r="E11" i="5" s="1"/>
  <c r="M9" i="4"/>
  <c r="H12" i="4" s="1"/>
  <c r="J12" i="4" s="1"/>
  <c r="H12" i="5"/>
  <c r="J12" i="5" s="1"/>
  <c r="C15" i="4"/>
  <c r="E15" i="4" s="1"/>
  <c r="E25" i="3"/>
  <c r="E10" i="4"/>
  <c r="I28" i="5"/>
  <c r="M26" i="4"/>
  <c r="I21" i="3"/>
  <c r="H16" i="5"/>
  <c r="J16" i="5" s="1"/>
  <c r="C15" i="5"/>
  <c r="E15" i="5" s="1"/>
  <c r="J9" i="4"/>
  <c r="I26" i="4"/>
  <c r="H12" i="3"/>
  <c r="I10" i="4"/>
  <c r="J10" i="4" s="1"/>
  <c r="I18" i="5"/>
  <c r="J24" i="5" s="1"/>
  <c r="I23" i="6"/>
  <c r="D17" i="4"/>
  <c r="D19" i="4" s="1"/>
  <c r="E26" i="4" s="1"/>
  <c r="E9" i="4"/>
  <c r="I29" i="4"/>
  <c r="D16" i="5"/>
  <c r="D18" i="5" s="1"/>
  <c r="E24" i="5" s="1"/>
  <c r="I7" i="4"/>
  <c r="H15" i="3"/>
  <c r="J15" i="3" s="1"/>
  <c r="C36" i="2"/>
  <c r="I28" i="3"/>
  <c r="C13" i="4"/>
  <c r="I16" i="4"/>
  <c r="H9" i="6"/>
  <c r="J9" i="6" s="1"/>
  <c r="L22" i="6" l="1"/>
  <c r="G25" i="6" s="1"/>
  <c r="F27" i="8"/>
  <c r="F25" i="8"/>
  <c r="E7" i="4"/>
  <c r="H7" i="5"/>
  <c r="J7" i="5" s="1"/>
  <c r="C7" i="5"/>
  <c r="E7" i="5" s="1"/>
  <c r="L21" i="8"/>
  <c r="L22" i="8" s="1"/>
  <c r="L24" i="8" s="1"/>
  <c r="C15" i="3"/>
  <c r="E15" i="3" s="1"/>
  <c r="H17" i="3"/>
  <c r="J17" i="3" s="1"/>
  <c r="I21" i="4"/>
  <c r="M24" i="5"/>
  <c r="M14" i="6" s="1"/>
  <c r="I14" i="6" s="1"/>
  <c r="H14" i="5"/>
  <c r="J14" i="5" s="1"/>
  <c r="C14" i="5"/>
  <c r="E14" i="5" s="1"/>
  <c r="H6" i="3"/>
  <c r="J6" i="3" s="1"/>
  <c r="C6" i="3"/>
  <c r="H10" i="5"/>
  <c r="J10" i="5" s="1"/>
  <c r="C10" i="5"/>
  <c r="E10" i="5" s="1"/>
  <c r="H10" i="6"/>
  <c r="J10" i="6" s="1"/>
  <c r="C10" i="6"/>
  <c r="E10" i="6" s="1"/>
  <c r="H15" i="5"/>
  <c r="J15" i="5" s="1"/>
  <c r="C13" i="5"/>
  <c r="E13" i="5" s="1"/>
  <c r="H8" i="6"/>
  <c r="J8" i="6" s="1"/>
  <c r="C8" i="6"/>
  <c r="E8" i="6" s="1"/>
  <c r="H10" i="3"/>
  <c r="J10" i="3" s="1"/>
  <c r="C10" i="3"/>
  <c r="E10" i="3" s="1"/>
  <c r="C7" i="6"/>
  <c r="H7" i="6"/>
  <c r="J7" i="6" s="1"/>
  <c r="H16" i="3"/>
  <c r="J16" i="3" s="1"/>
  <c r="C13" i="3"/>
  <c r="E13" i="3" s="1"/>
  <c r="C14" i="4"/>
  <c r="M13" i="4"/>
  <c r="C16" i="4" s="1"/>
  <c r="C6" i="4"/>
  <c r="E6" i="4" s="1"/>
  <c r="H6" i="4"/>
  <c r="J6" i="4" s="1"/>
  <c r="I19" i="4"/>
  <c r="J7" i="4"/>
  <c r="C11" i="3"/>
  <c r="E11" i="3" s="1"/>
  <c r="H11" i="3"/>
  <c r="J11" i="3" s="1"/>
  <c r="E25" i="5"/>
  <c r="H15" i="4"/>
  <c r="J15" i="4" s="1"/>
  <c r="E13" i="4"/>
  <c r="J12" i="3"/>
  <c r="C6" i="5"/>
  <c r="H6" i="5"/>
  <c r="J6" i="5" s="1"/>
  <c r="C7" i="3"/>
  <c r="E7" i="3" s="1"/>
  <c r="H7" i="3"/>
  <c r="J7" i="3" s="1"/>
  <c r="J26" i="4"/>
  <c r="H14" i="3"/>
  <c r="J14" i="3" s="1"/>
  <c r="C14" i="3"/>
  <c r="E14" i="3" s="1"/>
  <c r="F30" i="8" l="1"/>
  <c r="F28" i="8"/>
  <c r="F29" i="8" s="1"/>
  <c r="L25" i="8"/>
  <c r="L27" i="8" s="1"/>
  <c r="I30" i="3"/>
  <c r="M33" i="4"/>
  <c r="J18" i="5"/>
  <c r="J20" i="5" s="1"/>
  <c r="J22" i="5" s="1"/>
  <c r="J27" i="5" s="1"/>
  <c r="C16" i="5"/>
  <c r="E6" i="5"/>
  <c r="E16" i="5" s="1"/>
  <c r="H16" i="4"/>
  <c r="J16" i="4" s="1"/>
  <c r="E14" i="4"/>
  <c r="C16" i="3"/>
  <c r="E6" i="3"/>
  <c r="E16" i="3" s="1"/>
  <c r="J19" i="3"/>
  <c r="C11" i="4"/>
  <c r="E11" i="4" s="1"/>
  <c r="H11" i="4"/>
  <c r="J11" i="4" s="1"/>
  <c r="J12" i="6"/>
  <c r="J6" i="6"/>
  <c r="C11" i="6"/>
  <c r="E7" i="6"/>
  <c r="E11" i="6" s="1"/>
  <c r="H17" i="4"/>
  <c r="J17" i="4" s="1"/>
  <c r="E16" i="4"/>
  <c r="J19" i="4" l="1"/>
  <c r="J21" i="4" s="1"/>
  <c r="J23" i="4" s="1"/>
  <c r="I31" i="4"/>
  <c r="M31" i="5"/>
  <c r="L32" i="8"/>
  <c r="L28" i="8"/>
  <c r="E17" i="4"/>
  <c r="E19" i="4" s="1"/>
  <c r="J28" i="5"/>
  <c r="J29" i="5" s="1"/>
  <c r="J21" i="3"/>
  <c r="J23" i="3" s="1"/>
  <c r="E18" i="3"/>
  <c r="E20" i="3"/>
  <c r="E13" i="6"/>
  <c r="E15" i="6" s="1"/>
  <c r="E20" i="6" s="1"/>
  <c r="J14" i="6"/>
  <c r="J16" i="6" s="1"/>
  <c r="J22" i="6" s="1"/>
  <c r="E20" i="5"/>
  <c r="E18" i="5"/>
  <c r="L30" i="8" l="1"/>
  <c r="L31" i="8"/>
  <c r="L29" i="8"/>
  <c r="M22" i="6"/>
  <c r="I25" i="6" s="1"/>
  <c r="J30" i="5"/>
  <c r="J31" i="5" s="1"/>
  <c r="J32" i="5" s="1"/>
  <c r="J33" i="5" s="1"/>
  <c r="E21" i="4"/>
  <c r="E23" i="4" s="1"/>
  <c r="J23" i="6"/>
  <c r="J24" i="6" s="1"/>
  <c r="J25" i="6"/>
  <c r="E23" i="6"/>
  <c r="E24" i="6" s="1"/>
  <c r="E25" i="6" s="1"/>
  <c r="E26" i="6" s="1"/>
  <c r="E22" i="6"/>
  <c r="E22" i="3"/>
  <c r="E22" i="5"/>
  <c r="E26" i="5" s="1"/>
  <c r="E28" i="5" s="1"/>
  <c r="E29" i="5" s="1"/>
  <c r="E30" i="5" s="1"/>
  <c r="E31" i="5" s="1"/>
  <c r="E32" i="5" s="1"/>
  <c r="E33" i="5" s="1"/>
  <c r="F36" i="7" l="1"/>
  <c r="G36" i="7" s="1"/>
  <c r="H36" i="7" s="1"/>
  <c r="M6" i="7"/>
  <c r="N6" i="7" s="1"/>
  <c r="J26" i="6"/>
  <c r="J27" i="6" s="1"/>
  <c r="J28" i="6" s="1"/>
  <c r="M7" i="7" l="1"/>
  <c r="N7" i="7" s="1"/>
  <c r="F34" i="7"/>
  <c r="G34" i="7" s="1"/>
  <c r="F35" i="7"/>
  <c r="G35" i="7" s="1"/>
  <c r="H35" i="7" s="1"/>
  <c r="G37" i="7" l="1"/>
  <c r="H34" i="7"/>
  <c r="I37" i="7" l="1"/>
  <c r="H37" i="7"/>
  <c r="M27" i="4"/>
  <c r="D25" i="4" s="1"/>
  <c r="D24" i="3"/>
  <c r="E24" i="3" s="1"/>
  <c r="E26" i="3" s="1"/>
  <c r="E28" i="3" s="1"/>
  <c r="E29" i="3" s="1"/>
  <c r="E30" i="3" s="1"/>
  <c r="E31" i="3" s="1"/>
  <c r="E32" i="3" s="1"/>
  <c r="E33" i="3" s="1"/>
  <c r="I25" i="4" l="1"/>
  <c r="J25" i="4" s="1"/>
  <c r="J28" i="4" s="1"/>
  <c r="E25" i="4"/>
  <c r="E27" i="4" s="1"/>
  <c r="E29" i="4" s="1"/>
  <c r="E30" i="4" s="1"/>
  <c r="E31" i="4" s="1"/>
  <c r="E32" i="4" s="1"/>
  <c r="E33" i="4" s="1"/>
  <c r="E34" i="4" s="1"/>
  <c r="J25" i="3"/>
  <c r="J27" i="3" s="1"/>
  <c r="J30" i="3" l="1"/>
  <c r="J28" i="3"/>
  <c r="J29" i="3" s="1"/>
  <c r="J31" i="4"/>
  <c r="J29" i="4"/>
  <c r="J30" i="4" s="1"/>
  <c r="J32" i="4" l="1"/>
  <c r="J33" i="4" s="1"/>
  <c r="J34" i="4" s="1"/>
  <c r="M20" i="7" s="1"/>
  <c r="N20" i="7" s="1"/>
  <c r="J31" i="3"/>
  <c r="J32" i="3" s="1"/>
  <c r="J33" i="3" s="1"/>
  <c r="M15" i="7" s="1"/>
  <c r="N15" i="7" s="1"/>
  <c r="M19" i="7" l="1"/>
  <c r="N19" i="7" s="1"/>
  <c r="M12" i="7"/>
  <c r="N12" i="7" s="1"/>
  <c r="M22" i="7"/>
  <c r="N22" i="7" s="1"/>
  <c r="M17" i="7"/>
  <c r="N17" i="7" s="1"/>
  <c r="M16" i="7"/>
  <c r="N16" i="7" s="1"/>
  <c r="M21" i="7"/>
  <c r="N21" i="7" s="1"/>
  <c r="M11" i="7"/>
  <c r="N11" i="7" s="1"/>
  <c r="M14" i="7"/>
  <c r="N14" i="7" s="1"/>
  <c r="M18" i="7"/>
  <c r="N18" i="7" s="1"/>
  <c r="M9" i="7"/>
  <c r="N9" i="7" s="1"/>
  <c r="M24" i="7"/>
  <c r="N24" i="7" s="1"/>
  <c r="M13" i="7"/>
  <c r="N13" i="7" s="1"/>
  <c r="M23" i="7"/>
  <c r="N23" i="7" s="1"/>
  <c r="M10" i="7"/>
  <c r="N10" i="7" s="1"/>
  <c r="M8" i="7"/>
  <c r="N8" i="7" s="1"/>
  <c r="N29" i="7" l="1"/>
  <c r="J32" i="7" s="1"/>
  <c r="J31" i="7" l="1"/>
  <c r="N3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86925E73-D21B-429C-AE94-74C51B0C309F}">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30" authorId="0" shapeId="0" xr:uid="{F1AC0A8A-42FA-4F77-A060-D21724E53EFC}">
      <text>
        <r>
          <rPr>
            <b/>
            <sz val="9"/>
            <color indexed="81"/>
            <rFont val="Tahoma"/>
            <family val="2"/>
          </rPr>
          <t>kara:12.30.2020</t>
        </r>
        <r>
          <rPr>
            <sz val="9"/>
            <color indexed="81"/>
            <rFont val="Tahoma"/>
            <family val="2"/>
          </rPr>
          <t xml:space="preserve">
This money to be requested from C.257 reserve.
WI $$ is already in the DMH base and s/b used in FY22 to supplement the rate increase and FI</t>
        </r>
      </text>
    </comment>
  </commentList>
</comments>
</file>

<file path=xl/sharedStrings.xml><?xml version="1.0" encoding="utf-8"?>
<sst xmlns="http://schemas.openxmlformats.org/spreadsheetml/2006/main" count="1092" uniqueCount="480">
  <si>
    <t>Massachusetts Economic Indicators</t>
  </si>
  <si>
    <t>IHS Markit, Fall 2022 Forecast</t>
  </si>
  <si>
    <t>Prepared by Michael Lynch, 781-301-9129</t>
  </si>
  <si>
    <t>jan</t>
  </si>
  <si>
    <t>mar</t>
  </si>
  <si>
    <t>july</t>
  </si>
  <si>
    <t>sept</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</si>
  <si>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</si>
  <si>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</si>
  <si>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</si>
  <si>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</si>
  <si>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</si>
  <si>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</si>
  <si>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</si>
  <si>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</si>
  <si>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</si>
  <si>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</si>
  <si>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</si>
  <si>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</si>
  <si>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</si>
  <si>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</si>
  <si>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</si>
  <si>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</si>
  <si>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</si>
  <si>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</si>
  <si>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</si>
  <si>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</si>
  <si>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</si>
  <si>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</si>
  <si>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</si>
  <si>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</si>
  <si>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</si>
  <si>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</si>
  <si>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</si>
  <si>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</si>
  <si>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</si>
  <si>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</si>
  <si>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</si>
  <si>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</si>
  <si>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</si>
  <si>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</si>
  <si>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</si>
  <si>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</si>
  <si>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</si>
  <si>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</si>
  <si>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</si>
  <si>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</si>
  <si>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</si>
  <si>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</si>
  <si>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</si>
  <si>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</si>
  <si>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</si>
  <si>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</si>
  <si>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</si>
  <si>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</si>
  <si>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</si>
  <si>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</si>
  <si>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</si>
  <si>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</si>
  <si>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</si>
  <si>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</si>
  <si>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</si>
  <si>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</si>
  <si>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</si>
  <si>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</si>
  <si>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</si>
  <si>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</si>
  <si>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</si>
  <si>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</si>
  <si>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</si>
  <si>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</si>
  <si>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</si>
  <si>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</si>
  <si>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</si>
  <si>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</si>
  <si>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</si>
  <si>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</si>
  <si>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</si>
  <si>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</si>
  <si>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</si>
  <si>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</si>
  <si>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</si>
  <si>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</si>
  <si>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</si>
  <si>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</si>
  <si>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</si>
  <si>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</si>
  <si>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</si>
  <si>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</si>
  <si>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</si>
  <si>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</si>
  <si>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</si>
  <si>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</si>
  <si>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</si>
  <si>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</si>
  <si>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</si>
  <si>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</si>
  <si>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</si>
  <si>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</si>
  <si>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</si>
  <si>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</si>
  <si>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</si>
  <si>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</si>
  <si>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</si>
  <si>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</si>
  <si>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</si>
  <si>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</si>
  <si>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</si>
  <si>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</si>
  <si>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CPI--BASELINE SCENARIO (1982-84=1)</t>
  </si>
  <si>
    <t>CPIBASEMA</t>
  </si>
  <si>
    <t>CPI--OPTIMISTIC SCENARIO (1982-84=1)</t>
  </si>
  <si>
    <t>CPIOPTMA</t>
  </si>
  <si>
    <t>CPI--PESSIMISTIC SCENARIO (1982-84=1)</t>
  </si>
  <si>
    <t>CPIPESSMA</t>
  </si>
  <si>
    <t>Rate-to-rate CAF</t>
  </si>
  <si>
    <t>Assumption for Rate Reviews that are to be promulgated July 1, 2023</t>
  </si>
  <si>
    <t xml:space="preserve">Base period: </t>
  </si>
  <si>
    <t>FY23Q4</t>
  </si>
  <si>
    <t>Average</t>
  </si>
  <si>
    <t xml:space="preserve">Prospective rate period: </t>
  </si>
  <si>
    <t>July 1, 2023 - June 30, 2025</t>
  </si>
  <si>
    <t>CAF:</t>
  </si>
  <si>
    <t>Source:</t>
  </si>
  <si>
    <t>BLS / OES</t>
  </si>
  <si>
    <t>Position</t>
  </si>
  <si>
    <t>53 Percentile</t>
  </si>
  <si>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</si>
  <si>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</si>
  <si>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</si>
  <si>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</si>
  <si>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</si>
  <si>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</si>
  <si>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t>21-1093, 31-1120, 31-2022, 31-9099</t>
  </si>
  <si>
    <t>Direct Care  (annual)</t>
  </si>
  <si>
    <t>Direct Care III (hourly)</t>
  </si>
  <si>
    <t>Direct Care Supervisor, Direct Care Bachelors</t>
  </si>
  <si>
    <t>Bachelors Level or 5+ years related experience</t>
  </si>
  <si>
    <t>21-1094, 21-1015, 21-1018, 21-1023, 39-1022</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</si>
  <si>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</si>
  <si>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</si>
  <si>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</si>
  <si>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</si>
  <si>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</si>
  <si>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</si>
  <si>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</si>
  <si>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</si>
  <si>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</si>
  <si>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</si>
  <si>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</si>
  <si>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</si>
  <si>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</si>
  <si>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</si>
  <si>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</si>
  <si>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</si>
  <si>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</si>
  <si>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</si>
  <si>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</si>
  <si>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</si>
  <si>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</si>
  <si>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</si>
  <si>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</si>
  <si>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</si>
  <si>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</si>
  <si>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</si>
  <si>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</si>
  <si>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</si>
  <si>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</si>
  <si>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</si>
  <si>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</si>
  <si>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</si>
  <si>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</si>
  <si>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</si>
  <si>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</si>
  <si>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</si>
  <si>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</si>
  <si>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</si>
  <si>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</si>
  <si>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</si>
  <si>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</si>
  <si>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</si>
  <si>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</si>
  <si>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</si>
  <si>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</si>
  <si>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</si>
  <si>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</si>
  <si>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</si>
  <si>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</si>
  <si>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</si>
  <si>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</si>
  <si>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</si>
  <si>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</si>
  <si>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</si>
  <si>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</si>
  <si>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</si>
  <si>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</si>
  <si>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</si>
  <si>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</si>
  <si>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</si>
  <si>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</si>
  <si>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</si>
  <si>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</si>
  <si>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 xml:space="preserve">Tax and Fringe =  </t>
  </si>
  <si>
    <t xml:space="preserve">Benchmarked to FY23 (approved) Commonwealth (office of the Comptroller) T&amp;F rate, less </t>
  </si>
  <si>
    <t xml:space="preserve">Terminal leave, and  retirement.  Does include Paid Family Medical Leave tax.
Includes and additional 2% to be used at providers descretion for retirement and/or other benefits
</t>
  </si>
  <si>
    <t>Admin Allocation</t>
  </si>
  <si>
    <t>C.257 Benchmark</t>
  </si>
  <si>
    <t>Misc. BLS benchmarks</t>
  </si>
  <si>
    <t>Psychiatrist</t>
  </si>
  <si>
    <t>M2021 BLS Occ Code 29-1223 NAICS 622200 (Nat'l)</t>
  </si>
  <si>
    <t>Medical Director</t>
  </si>
  <si>
    <t>M2021 BLS Occ Code 29-1229 NAICS 622200 (Nat'l)</t>
  </si>
  <si>
    <t>Physician Assistants</t>
  </si>
  <si>
    <t>M2021 BLS  Occ Code 29-1071</t>
  </si>
  <si>
    <t>PACT 50 Model Proposed at Public Hearing</t>
  </si>
  <si>
    <t>Persons Served:</t>
  </si>
  <si>
    <t>Enrollment Days:</t>
  </si>
  <si>
    <t>Benchmark Salaries</t>
  </si>
  <si>
    <t>Source</t>
  </si>
  <si>
    <t>Salary</t>
  </si>
  <si>
    <t>FTE</t>
  </si>
  <si>
    <t>Expense</t>
  </si>
  <si>
    <t>Team Leader (LPHA)</t>
  </si>
  <si>
    <t>BLS Benchmark</t>
  </si>
  <si>
    <t>Management</t>
  </si>
  <si>
    <t>Program Functional Manager</t>
  </si>
  <si>
    <t xml:space="preserve">BLS/OES MA median </t>
  </si>
  <si>
    <t xml:space="preserve">Registered Nurse (RN) </t>
  </si>
  <si>
    <t>Clinical</t>
  </si>
  <si>
    <t>Direct Care III (Bachelors)</t>
  </si>
  <si>
    <t>Clinician (LPHA, Masters)</t>
  </si>
  <si>
    <t>Clinician (LPHA,)</t>
  </si>
  <si>
    <t>Direct Care</t>
  </si>
  <si>
    <t>Clinician (Masters)</t>
  </si>
  <si>
    <t>Program Support (Admin)</t>
  </si>
  <si>
    <t>Peer Support Specialist</t>
  </si>
  <si>
    <t>Benchmark FTEs</t>
  </si>
  <si>
    <t>DC Staff (Bachelors)</t>
  </si>
  <si>
    <t>Purchaser Recommendation</t>
  </si>
  <si>
    <t>Total Program Staff</t>
  </si>
  <si>
    <t>Sub-Total Staff</t>
  </si>
  <si>
    <t>Taxes and Fringe</t>
  </si>
  <si>
    <t xml:space="preserve">Total Staffing Costs </t>
  </si>
  <si>
    <t>Unit Cost</t>
  </si>
  <si>
    <t xml:space="preserve"> Benchmark Expenses</t>
  </si>
  <si>
    <t>Taxes &amp; Fringe</t>
  </si>
  <si>
    <t>Occupancy (per FTE)</t>
  </si>
  <si>
    <t>Total Reimbursable Exp. Excl. Admin.</t>
  </si>
  <si>
    <t>Other Program Expenses (per FTE)*</t>
  </si>
  <si>
    <t>Admin. Alloc. (M&amp;G)</t>
  </si>
  <si>
    <t>Admin. Alloc. (M &amp; G)</t>
  </si>
  <si>
    <t>Total Amount</t>
  </si>
  <si>
    <t>Total Reimbursable Exp.</t>
  </si>
  <si>
    <t>Utilization Rate</t>
  </si>
  <si>
    <t>CAF</t>
  </si>
  <si>
    <t>Total Annual Amount</t>
  </si>
  <si>
    <t>Annual Total</t>
  </si>
  <si>
    <t>RATE:</t>
  </si>
  <si>
    <t>Utilization Rate:</t>
  </si>
  <si>
    <t>PACT 80 Model Proposed at Public Hearing</t>
  </si>
  <si>
    <t>Clinician (LPHA)</t>
  </si>
  <si>
    <t xml:space="preserve">Resource Specialist </t>
  </si>
  <si>
    <t>Forensic PACT Model - Proposed at Public Hearing</t>
  </si>
  <si>
    <t>Forensic Pact</t>
  </si>
  <si>
    <t>Registered Nurse (RN)</t>
  </si>
  <si>
    <t>Direct Care (Bachelors)</t>
  </si>
  <si>
    <t>clinician (LPHA)</t>
  </si>
  <si>
    <t xml:space="preserve">Annual Amount </t>
  </si>
  <si>
    <t xml:space="preserve">Rate  </t>
  </si>
  <si>
    <t>PACT Forensic GLE Proposed at Public Hearing</t>
  </si>
  <si>
    <t xml:space="preserve">Capacity: </t>
  </si>
  <si>
    <t>Bed Days:</t>
  </si>
  <si>
    <t>Management Supervision</t>
  </si>
  <si>
    <t>Site Manager</t>
  </si>
  <si>
    <t xml:space="preserve">Direct Care   </t>
  </si>
  <si>
    <t>Relief</t>
  </si>
  <si>
    <t>DC Blended (DC I + II)</t>
  </si>
  <si>
    <t>101 CMR 421.00: Rates for Adult Housing and Community Support Services</t>
  </si>
  <si>
    <t>Tax and Fringe</t>
  </si>
  <si>
    <t>Benchmark Expenses</t>
  </si>
  <si>
    <t>Total Compensation</t>
  </si>
  <si>
    <t>Transporation (Van)</t>
  </si>
  <si>
    <t>Benchmarked to 101 CMR 420</t>
  </si>
  <si>
    <t>Occupancy (per bed day)*</t>
  </si>
  <si>
    <t>Meals (per bed day)</t>
  </si>
  <si>
    <t>Total Reimb excl M&amp;G</t>
  </si>
  <si>
    <t>Admin. Allocation</t>
  </si>
  <si>
    <t>TOTAL</t>
  </si>
  <si>
    <t>DMH Fiscal Impact</t>
  </si>
  <si>
    <t>Doc ID</t>
  </si>
  <si>
    <t>Model</t>
  </si>
  <si>
    <t>legal_name</t>
  </si>
  <si>
    <t>Type</t>
  </si>
  <si>
    <t>Rate</t>
  </si>
  <si>
    <t>YTD Units</t>
  </si>
  <si>
    <t>Rate Spent</t>
  </si>
  <si>
    <t>Cotingency</t>
  </si>
  <si>
    <t>Cost Reimb</t>
  </si>
  <si>
    <t>Workforce Intiative</t>
  </si>
  <si>
    <t>TTL - MMARS</t>
  </si>
  <si>
    <t>Proposed Rate</t>
  </si>
  <si>
    <t>Proposed Spend</t>
  </si>
  <si>
    <r>
      <t>SCDMH1220018</t>
    </r>
    <r>
      <rPr>
        <b/>
        <u/>
        <sz val="10"/>
        <rFont val="Arial"/>
        <family val="2"/>
      </rPr>
      <t>1366</t>
    </r>
    <r>
      <rPr>
        <sz val="10"/>
        <rFont val="Arial"/>
        <family val="2"/>
      </rPr>
      <t>0000</t>
    </r>
  </si>
  <si>
    <t>Forensic PACT</t>
  </si>
  <si>
    <r>
      <t xml:space="preserve">BEHAVIORAL HEALTH NETWORK INC - </t>
    </r>
    <r>
      <rPr>
        <b/>
        <i/>
        <sz val="10"/>
        <rFont val="Arial"/>
        <family val="2"/>
      </rPr>
      <t>FOR</t>
    </r>
  </si>
  <si>
    <t>Enroll Day</t>
  </si>
  <si>
    <t>Forensic GLE</t>
  </si>
  <si>
    <r>
      <t xml:space="preserve">BEHAVIORAL HEALTH NETWORK INC - </t>
    </r>
    <r>
      <rPr>
        <b/>
        <i/>
        <sz val="10"/>
        <rFont val="Arial"/>
        <family val="2"/>
      </rPr>
      <t>GLE</t>
    </r>
  </si>
  <si>
    <t>Bed Day</t>
  </si>
  <si>
    <t>contract offsets account for the difference.</t>
  </si>
  <si>
    <r>
      <t>SCDMH2330015</t>
    </r>
    <r>
      <rPr>
        <b/>
        <u/>
        <sz val="10"/>
        <rFont val="Arial"/>
        <family val="2"/>
      </rPr>
      <t>2388</t>
    </r>
    <r>
      <rPr>
        <sz val="10"/>
        <rFont val="Arial"/>
        <family val="2"/>
      </rPr>
      <t>0000</t>
    </r>
  </si>
  <si>
    <t>PACT 50</t>
  </si>
  <si>
    <t xml:space="preserve">COMMUNITY HEALTHLINK INC </t>
  </si>
  <si>
    <r>
      <t>SCDMH2330018</t>
    </r>
    <r>
      <rPr>
        <b/>
        <u/>
        <sz val="10"/>
        <rFont val="Arial"/>
        <family val="2"/>
      </rPr>
      <t>2486</t>
    </r>
    <r>
      <rPr>
        <sz val="10"/>
        <rFont val="Arial"/>
        <family val="2"/>
      </rPr>
      <t>0000</t>
    </r>
  </si>
  <si>
    <t>PACT 80</t>
  </si>
  <si>
    <t>COMMUNITY HELATHLINK INC</t>
  </si>
  <si>
    <r>
      <t>SCDMH4330015</t>
    </r>
    <r>
      <rPr>
        <b/>
        <u/>
        <sz val="10"/>
        <rFont val="Arial"/>
        <family val="2"/>
      </rPr>
      <t>4383</t>
    </r>
    <r>
      <rPr>
        <sz val="10"/>
        <rFont val="Arial"/>
        <family val="2"/>
      </rPr>
      <t>0000</t>
    </r>
  </si>
  <si>
    <t>RIVERSIDE COMMUNITY CARE</t>
  </si>
  <si>
    <r>
      <t>SCDMH2330018</t>
    </r>
    <r>
      <rPr>
        <b/>
        <u/>
        <sz val="10"/>
        <rFont val="Arial"/>
        <family val="2"/>
      </rPr>
      <t>2487</t>
    </r>
    <r>
      <rPr>
        <sz val="10"/>
        <rFont val="Arial"/>
        <family val="2"/>
      </rPr>
      <t>0000</t>
    </r>
  </si>
  <si>
    <t>COMMUNITY HEALTHLINK INC</t>
  </si>
  <si>
    <r>
      <t>SCDMH3310018</t>
    </r>
    <r>
      <rPr>
        <b/>
        <u/>
        <sz val="10"/>
        <rFont val="Arial"/>
        <family val="2"/>
      </rPr>
      <t>3778</t>
    </r>
    <r>
      <rPr>
        <sz val="10"/>
        <rFont val="Arial"/>
        <family val="2"/>
      </rPr>
      <t>0000</t>
    </r>
  </si>
  <si>
    <t>ELIOT COMMUNITY HUMAN SRVCS</t>
  </si>
  <si>
    <r>
      <t>SCDMH3320018</t>
    </r>
    <r>
      <rPr>
        <b/>
        <u/>
        <sz val="10"/>
        <rFont val="Arial"/>
        <family val="2"/>
      </rPr>
      <t>3779</t>
    </r>
    <r>
      <rPr>
        <sz val="10"/>
        <rFont val="Arial"/>
        <family val="2"/>
      </rPr>
      <t>0000</t>
    </r>
  </si>
  <si>
    <t>VINFEN CORPORATION</t>
  </si>
  <si>
    <r>
      <t>SCDMH3340018</t>
    </r>
    <r>
      <rPr>
        <b/>
        <u/>
        <sz val="10"/>
        <rFont val="Arial"/>
        <family val="2"/>
      </rPr>
      <t>3780</t>
    </r>
    <r>
      <rPr>
        <sz val="10"/>
        <rFont val="Arial"/>
        <family val="2"/>
      </rPr>
      <t>0000</t>
    </r>
  </si>
  <si>
    <r>
      <t>SCDMH3350015</t>
    </r>
    <r>
      <rPr>
        <b/>
        <u/>
        <sz val="10"/>
        <rFont val="Arial"/>
        <family val="2"/>
      </rPr>
      <t>3568</t>
    </r>
    <r>
      <rPr>
        <sz val="10"/>
        <rFont val="Arial"/>
        <family val="2"/>
      </rPr>
      <t>0000</t>
    </r>
  </si>
  <si>
    <r>
      <t>SCDMH3360018</t>
    </r>
    <r>
      <rPr>
        <b/>
        <u/>
        <sz val="10"/>
        <rFont val="Arial"/>
        <family val="2"/>
      </rPr>
      <t>3781</t>
    </r>
    <r>
      <rPr>
        <sz val="10"/>
        <rFont val="Arial"/>
        <family val="2"/>
      </rPr>
      <t>0000</t>
    </r>
  </si>
  <si>
    <r>
      <t>SCDMH3370018</t>
    </r>
    <r>
      <rPr>
        <b/>
        <u/>
        <sz val="10"/>
        <rFont val="Arial"/>
        <family val="2"/>
      </rPr>
      <t>3782</t>
    </r>
    <r>
      <rPr>
        <sz val="10"/>
        <rFont val="Arial"/>
        <family val="2"/>
      </rPr>
      <t>0000</t>
    </r>
  </si>
  <si>
    <t>THE EDINBURG CENTER INC</t>
  </si>
  <si>
    <r>
      <t>SCDMH5320018</t>
    </r>
    <r>
      <rPr>
        <b/>
        <u/>
        <sz val="10"/>
        <rFont val="Arial"/>
        <family val="2"/>
      </rPr>
      <t>5482</t>
    </r>
    <r>
      <rPr>
        <sz val="10"/>
        <rFont val="Arial"/>
        <family val="2"/>
      </rPr>
      <t>0000</t>
    </r>
  </si>
  <si>
    <t>COMM COUNSELING OF B C INC</t>
  </si>
  <si>
    <r>
      <t>SCDMH5330018</t>
    </r>
    <r>
      <rPr>
        <b/>
        <u/>
        <sz val="10"/>
        <rFont val="Arial"/>
        <family val="2"/>
      </rPr>
      <t>5479</t>
    </r>
    <r>
      <rPr>
        <sz val="10"/>
        <rFont val="Arial"/>
        <family val="2"/>
      </rPr>
      <t>0000</t>
    </r>
  </si>
  <si>
    <t>FELLOWSHIP HEALTHRESOURCES</t>
  </si>
  <si>
    <r>
      <t>SCDMH5350018</t>
    </r>
    <r>
      <rPr>
        <b/>
        <u/>
        <sz val="10"/>
        <rFont val="Arial"/>
        <family val="2"/>
      </rPr>
      <t>5478</t>
    </r>
    <r>
      <rPr>
        <sz val="10"/>
        <rFont val="Arial"/>
        <family val="2"/>
      </rPr>
      <t>0000</t>
    </r>
  </si>
  <si>
    <r>
      <t>SCDMH5360018</t>
    </r>
    <r>
      <rPr>
        <b/>
        <u/>
        <sz val="10"/>
        <rFont val="Arial"/>
        <family val="2"/>
      </rPr>
      <t>5477</t>
    </r>
    <r>
      <rPr>
        <sz val="10"/>
        <rFont val="Arial"/>
        <family val="2"/>
      </rPr>
      <t>0000</t>
    </r>
  </si>
  <si>
    <r>
      <t>SCDMH5380018</t>
    </r>
    <r>
      <rPr>
        <b/>
        <u/>
        <sz val="10"/>
        <rFont val="Arial"/>
        <family val="2"/>
      </rPr>
      <t>5480</t>
    </r>
    <r>
      <rPr>
        <sz val="10"/>
        <rFont val="Arial"/>
        <family val="2"/>
      </rPr>
      <t>0000</t>
    </r>
  </si>
  <si>
    <r>
      <t>SCDMH5340018</t>
    </r>
    <r>
      <rPr>
        <b/>
        <u/>
        <sz val="10"/>
        <rFont val="Arial"/>
        <family val="2"/>
      </rPr>
      <t>5481</t>
    </r>
    <r>
      <rPr>
        <sz val="10"/>
        <rFont val="Arial"/>
        <family val="2"/>
      </rPr>
      <t>0000</t>
    </r>
  </si>
  <si>
    <r>
      <t>SCDMH6220018</t>
    </r>
    <r>
      <rPr>
        <b/>
        <u/>
        <sz val="11"/>
        <color theme="1"/>
        <rFont val="Calibri"/>
        <family val="2"/>
        <scheme val="minor"/>
      </rPr>
      <t>6398</t>
    </r>
    <r>
      <rPr>
        <sz val="11"/>
        <color theme="1"/>
        <rFont val="Calibri"/>
        <family val="2"/>
        <scheme val="minor"/>
      </rPr>
      <t>0000</t>
    </r>
  </si>
  <si>
    <t>BAY COVE HUMAN SERVICES</t>
  </si>
  <si>
    <t>RATE &amp; WI $$</t>
  </si>
  <si>
    <t>MassHealth Fiscal Impact</t>
  </si>
  <si>
    <t>Variance</t>
  </si>
  <si>
    <t>Program</t>
  </si>
  <si>
    <t>FY21 Units Annualized</t>
  </si>
  <si>
    <t>FY21 Spend Annualized (Projected)</t>
  </si>
  <si>
    <t>increase %</t>
  </si>
  <si>
    <t>Projected FY22 Spend</t>
  </si>
  <si>
    <t>20 SLOT MODEL FTEs</t>
  </si>
  <si>
    <t>Brief Overview of Role</t>
  </si>
  <si>
    <t>Program Director (PD)/Management/Team Lead</t>
  </si>
  <si>
    <t>Designated person in charge of the program. Must have a master’s degree and be independently licensed. Should be experienced clinician who supervises the staff doing clinical and outreach work.</t>
  </si>
  <si>
    <t>Slots:</t>
  </si>
  <si>
    <t>Total Slots</t>
  </si>
  <si>
    <t>Assistant Program Director (LICSW)</t>
  </si>
  <si>
    <t>Should be experienced clinician who supervises the staff doing clinical and outreach work and has a small caseload .</t>
  </si>
  <si>
    <t>Months</t>
  </si>
  <si>
    <t>BLS M2021 Benchmark</t>
  </si>
  <si>
    <t>Psychiatry/Nurse Prescriber</t>
  </si>
  <si>
    <t>Psychiatry role provides direct clinical / medication management services and shares responsibility for clinical leadership of the Team. Providers may split this role into a child psychiatrist and APRN.</t>
  </si>
  <si>
    <t>Registered Nurse</t>
  </si>
  <si>
    <t>Arranges and coordinates consumers’ medical care with community medical providers. Nurses may carry out some physical assessments and treatment; however, their primary responsibilities are psychiatric, not medical.</t>
  </si>
  <si>
    <t xml:space="preserve">    Psychiatrist / APRN</t>
  </si>
  <si>
    <t>BLS M2021 Benchmark 50/50 Blend
Psych $247,150 APRN $128,170</t>
  </si>
  <si>
    <t>Clinical staff (Masters level)</t>
  </si>
  <si>
    <t>Master’s level clinical staff who work closely with the youth/family to develop and implement the youth and family treatment plan. Preference to have one of these staff be a Board-Certified Behavior Analyst, and another to have experience serving youth with co-occurring mental health and substance use challenges.</t>
  </si>
  <si>
    <t xml:space="preserve">    Registered Nurse</t>
  </si>
  <si>
    <t>Outreach Staff</t>
  </si>
  <si>
    <t>Provides outreach and case management on behalf of the youth/family. Outreach staff must have a bachelor’s degree, giving providers flexibility in determining the education and skills that best enable them to meet the needs of the youth and families they serve.</t>
  </si>
  <si>
    <t xml:space="preserve">    Occupational Therapist </t>
  </si>
  <si>
    <t>Occupational Therapist (OT)</t>
  </si>
  <si>
    <t>Occupational Therapist (OT) will conduct assessments of youth/family, consult to the Team and/or families and provide treatment, as needed. Providers have the flexibility to hire a combination of OT and an Occupational Therapy Assistant (OTA).</t>
  </si>
  <si>
    <t xml:space="preserve"> </t>
  </si>
  <si>
    <t xml:space="preserve">    Clinician (MA Level)</t>
  </si>
  <si>
    <t>Family Partner (FP)</t>
  </si>
  <si>
    <t>The Family Partner works with parents/caregivers, establishes, and nurtures family engagement, and provides consultation to the Team about family driven practice. Preference to have two family partners at .5 FTE each.</t>
  </si>
  <si>
    <t>Young Adult Peer Mentor (YAPM)</t>
  </si>
  <si>
    <t>The YAPM works directly with the youth/young adult, ensures youth engagement in services, and provides consultation to the Team about youth guided treatment. Preference to have two YAPM on the team.</t>
  </si>
  <si>
    <t xml:space="preserve">    Outreach Staff / Family Partner</t>
  </si>
  <si>
    <t>Education Specialist</t>
  </si>
  <si>
    <t>This is an experienced professional who is knowledgeable about the education system. This person consults to the Team about the youth’s educational needs. They may also attend IEP and other school-related meetings with the family.</t>
  </si>
  <si>
    <t xml:space="preserve">    Family Partner</t>
  </si>
  <si>
    <t>BLS Average DC and DCIII</t>
  </si>
  <si>
    <t>Program Assistant</t>
  </si>
  <si>
    <t>This Team member organizes, coordinates, and monitors the program operations of the service. They may do data entry for required assessments and other clinical information, assist with scheduling meetings, taking notes during Team meetings, and assisting with other administrative tasks as assigned.</t>
  </si>
  <si>
    <t xml:space="preserve">    Education Specialist</t>
  </si>
  <si>
    <t>M2021 Occ Code 25-2058</t>
  </si>
  <si>
    <t xml:space="preserve">    Young Adult Peer Mentor </t>
  </si>
  <si>
    <t>BLS M2021 Benchmark (Direct Care)</t>
  </si>
  <si>
    <t xml:space="preserve">    Support Staff</t>
  </si>
  <si>
    <t xml:space="preserve">    Support Staff / Prg Assistant</t>
  </si>
  <si>
    <t>Expenses</t>
  </si>
  <si>
    <t xml:space="preserve">Benchmark Expenses </t>
  </si>
  <si>
    <t>FY24 C.257 Benchmark</t>
  </si>
  <si>
    <t>Occupancy</t>
  </si>
  <si>
    <t>Benchmarked to IHBTC in 101 CMR 413</t>
  </si>
  <si>
    <t>All Programmatic Expenses</t>
  </si>
  <si>
    <t>All Program Expenses</t>
  </si>
  <si>
    <t>Other Expenses</t>
  </si>
  <si>
    <t>Daily Slot rate</t>
  </si>
  <si>
    <t xml:space="preserve">Daily Slot rate w/ Utilization </t>
  </si>
  <si>
    <t>Monthly Accommodation Rate</t>
  </si>
  <si>
    <t xml:space="preserve">    Clinical Manager</t>
  </si>
  <si>
    <t xml:space="preserve">    Asst Program Management (LICSW)</t>
  </si>
  <si>
    <t>S&amp;P Global Market Intelligence, Fall 2024</t>
  </si>
  <si>
    <t>FY26Q1</t>
  </si>
  <si>
    <t>FY26Q2</t>
  </si>
  <si>
    <t>FY26Q3</t>
  </si>
  <si>
    <t>FY26Q4</t>
  </si>
  <si>
    <t>FY27Q1</t>
  </si>
  <si>
    <t>FY27Q2</t>
  </si>
  <si>
    <t>FY27Q3</t>
  </si>
  <si>
    <t>FY27Q4</t>
  </si>
  <si>
    <t>2028Q1</t>
  </si>
  <si>
    <t>2028Q2</t>
  </si>
  <si>
    <t>2028Q3</t>
  </si>
  <si>
    <t>2028Q4</t>
  </si>
  <si>
    <t>2029Q1</t>
  </si>
  <si>
    <t>2029Q2</t>
  </si>
  <si>
    <t>2029Q3</t>
  </si>
  <si>
    <t>2029Q4</t>
  </si>
  <si>
    <t>2030Q1</t>
  </si>
  <si>
    <t>2030Q2</t>
  </si>
  <si>
    <t>2030Q3</t>
  </si>
  <si>
    <t>2030Q4</t>
  </si>
  <si>
    <t>Assumption for Rate Reviews that are to be promulgated July 1, 2025</t>
  </si>
  <si>
    <t>FY25Q4</t>
  </si>
  <si>
    <t>OPT</t>
  </si>
  <si>
    <t>July 1, 2025 - June 30, 2027</t>
  </si>
  <si>
    <t>BASE</t>
  </si>
  <si>
    <t>Change</t>
  </si>
  <si>
    <t xml:space="preserve">
21-1093, 31-1120, 31-2022, 31-9099</t>
  </si>
  <si>
    <t>Developmental Specialist,  Triage Specialist, Medical Assistant</t>
  </si>
  <si>
    <t xml:space="preserve"> 31-1131</t>
  </si>
  <si>
    <t>Occupational Therapist (hourly) *</t>
  </si>
  <si>
    <t xml:space="preserve">
29-1129, 31-2011, 29-1122 (25%/25%/50%)</t>
  </si>
  <si>
    <t>Occupational Therapist (annual) *</t>
  </si>
  <si>
    <t>Speech Language Pathologists (hourly) *</t>
  </si>
  <si>
    <t xml:space="preserve">
29-1129, 29-1127</t>
  </si>
  <si>
    <t>Speech Language Pathologists (annual) *</t>
  </si>
  <si>
    <r>
      <t xml:space="preserve">Clerical, Support &amp; Direct Care Relief Staff are benched to Direct Care </t>
    </r>
    <r>
      <rPr>
        <b/>
        <i/>
        <sz val="20"/>
        <color theme="1"/>
        <rFont val="Calibri"/>
        <family val="2"/>
        <scheme val="minor"/>
      </rPr>
      <t>**</t>
    </r>
  </si>
  <si>
    <t xml:space="preserve">Benchmarked to FY25 (proposed) Commonwealth (office of the Comptroller) T&amp;F rate, less </t>
  </si>
  <si>
    <t>Psychiatrist *</t>
  </si>
  <si>
    <t>M2021 BLS  NAICS 623200 (Nat'l)   Intellectual and Developmental Disability,   Residential, Mental Health, and Substance Abuse Facilities</t>
  </si>
  <si>
    <t>M2022 BLS  (29-1222 Physicians) National Annual Mean</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</si>
  <si>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</si>
  <si>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</si>
  <si>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</si>
  <si>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</si>
  <si>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</si>
  <si>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</si>
  <si>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</si>
  <si>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</si>
  <si>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</si>
  <si>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</si>
  <si>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</si>
  <si>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</si>
  <si>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</si>
  <si>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</si>
  <si>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</si>
  <si>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</si>
  <si>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</si>
  <si>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</si>
  <si>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Prospective Period FY26 &amp; FY27</t>
  </si>
  <si>
    <t>CAF FY26</t>
  </si>
  <si>
    <t>FY25 Comptroller Approved</t>
  </si>
  <si>
    <t>USDA November 2024</t>
  </si>
  <si>
    <r>
      <t>Benchmark Salaries</t>
    </r>
    <r>
      <rPr>
        <b/>
        <sz val="11"/>
        <rFont val="Calibri"/>
        <family val="2"/>
        <scheme val="minor"/>
      </rPr>
      <t xml:space="preserve"> </t>
    </r>
  </si>
  <si>
    <r>
      <t>Staff Rol</t>
    </r>
    <r>
      <rPr>
        <b/>
        <sz val="11"/>
        <color rgb="FF000000"/>
        <rFont val="Calibri"/>
        <family val="2"/>
        <scheme val="minor"/>
      </rPr>
      <t>e</t>
    </r>
  </si>
  <si>
    <r>
      <rPr>
        <b/>
        <sz val="11"/>
        <color rgb="FFFF0000"/>
        <rFont val="Calibri"/>
        <family val="2"/>
        <scheme val="minor"/>
      </rPr>
      <t xml:space="preserve">DEPARTMENTAL RATE </t>
    </r>
    <r>
      <rPr>
        <b/>
        <sz val="11"/>
        <rFont val="Calibri"/>
        <family val="2"/>
        <scheme val="minor"/>
      </rPr>
      <t xml:space="preserve">for PACT YOUTH -  </t>
    </r>
    <r>
      <rPr>
        <b/>
        <sz val="11"/>
        <color rgb="FFFF0000"/>
        <rFont val="Calibri"/>
        <family val="2"/>
        <scheme val="minor"/>
      </rPr>
      <t>6 slots</t>
    </r>
  </si>
  <si>
    <t>Clinician (LCSW)</t>
  </si>
  <si>
    <t>Prior Rate with CAF Applied</t>
  </si>
  <si>
    <t>Prior rate w/ CAF applied</t>
  </si>
  <si>
    <t xml:space="preserve">Forensic PACT Model </t>
  </si>
  <si>
    <t xml:space="preserve">Master Data Look-Up Table </t>
  </si>
  <si>
    <t>PACT 50 Model</t>
  </si>
  <si>
    <t>Master Data Look-Up Table</t>
  </si>
  <si>
    <t>PACT 80 Model</t>
  </si>
  <si>
    <t>PACT Forensic GLE</t>
  </si>
  <si>
    <t xml:space="preserve">Master Data  Look-Up Table </t>
  </si>
  <si>
    <t>PACT YOUTH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</si>
</sst>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
    <numFmt numFmtId="165" formatCode="0.0"/>
    <numFmt numFmtId="166" formatCode="[$-409]mmmm\ d\,\ yyyy;@"/>
    <numFmt numFmtId="167" formatCode="&quot;$&quot;#,##0.00"/>
    <numFmt numFmtId="168" formatCode="&quot;$&quot;#,##0"/>
    <numFmt numFmtId="169" formatCode="_(&quot;$&quot;* #,##0_);_(&quot;$&quot;* \(#,##0\);_(&quot;$&quot;* &quot;-&quot;??_);_(@_)"/>
    <numFmt numFmtId="170" formatCode="\$#,##0.00"/>
    <numFmt numFmtId="171" formatCode="_(&quot;$&quot;* #,##0.0_);_(&quot;$&quot;* \(#,##0.0\);_(&quot;$&quot;* &quot;-&quot;??_);_(@_)"/>
    <numFmt numFmtId="172" formatCode="&quot;$&quot;#,##0.0000_);[Red]\(&quot;$&quot;#,##0.0000\)"/>
    <numFmt numFmtId="173" formatCode="\$#,##0"/>
    <numFmt numFmtId="174" formatCode="_(&quot;$&quot;* #,##0.00_);_(&quot;$&quot;* \(#,##0.00\);_(&quot;$&quot;* &quot;-&quot;_);_(@_)"/>
    <numFmt numFmtId="175" formatCode="_(* #,##0_);_(* \(#,##0\);_(* &quot;-&quot;??_);_(@_)"/>
    <numFmt numFmtId="176" formatCode="#,##0.000"/>
    <numFmt numFmtId="177" formatCode="0.0%"/>
    <numFmt numFmtId="178" formatCode="0.00000"/>
  </numFmts>
  <fonts count="60">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sz val="10"/>
      <color theme="1"/>
      <name val="Arial"/>
      <family val="2"/>
    </font>
    <font>
      <b/>
      <sz val="10"/>
      <color rgb="FFFF0000"/>
      <name val="Arial"/>
      <family val="2"/>
    </font>
    <font>
      <sz val="10"/>
      <color rgb="FFFF0000"/>
      <name val="Arial"/>
      <family val="2"/>
    </font>
    <font>
      <b/>
      <u/>
      <sz val="10"/>
      <name val="Arial"/>
      <family val="2"/>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0"/>
      <name val="Calibri"/>
      <family val="2"/>
      <scheme val="minor"/>
    </font>
    <font>
      <sz val="10"/>
      <color indexed="17"/>
      <name val="Calibri"/>
      <family val="2"/>
      <scheme val="minor"/>
    </font>
    <font>
      <sz val="10"/>
      <color theme="4" tint="-0.499984740745262"/>
      <name val="Calibri"/>
      <family val="2"/>
      <scheme val="minor"/>
    </font>
    <font>
      <sz val="10"/>
      <color rgb="FF002060"/>
      <name val="Calibri"/>
      <family val="2"/>
      <scheme val="minor"/>
    </font>
    <font>
      <sz val="11"/>
      <color indexed="8"/>
      <name val="Calibri"/>
      <family val="2"/>
    </font>
    <font>
      <sz val="10"/>
      <color rgb="FFFF0000"/>
      <name val="Calibri"/>
      <family val="2"/>
      <scheme val="minor"/>
    </font>
    <font>
      <u/>
      <sz val="10"/>
      <color indexed="8"/>
      <name val="Calibri"/>
      <family val="2"/>
      <scheme val="minor"/>
    </font>
    <font>
      <b/>
      <sz val="10"/>
      <color theme="1"/>
      <name val="Calibri"/>
      <family val="2"/>
      <scheme val="minor"/>
    </font>
    <font>
      <b/>
      <sz val="10"/>
      <color indexed="8"/>
      <name val="Calibri"/>
      <family val="2"/>
      <scheme val="minor"/>
    </font>
    <font>
      <b/>
      <sz val="10"/>
      <color rgb="FF000000"/>
      <name val="Calibri"/>
      <family val="2"/>
      <scheme val="minor"/>
    </font>
    <font>
      <sz val="10"/>
      <color rgb="FF008000"/>
      <name val="Calibri"/>
      <family val="2"/>
      <scheme val="minor"/>
    </font>
    <font>
      <sz val="10"/>
      <name val="Verdana"/>
      <family val="2"/>
    </font>
    <font>
      <sz val="10"/>
      <color indexed="30"/>
      <name val="Calibri"/>
      <family val="2"/>
      <scheme val="minor"/>
    </font>
    <font>
      <sz val="10"/>
      <color theme="5"/>
      <name val="Calibri"/>
      <family val="2"/>
      <scheme val="minor"/>
    </font>
    <font>
      <sz val="11"/>
      <color theme="1"/>
      <name val="Calibri"/>
      <family val="2"/>
      <charset val="129"/>
      <scheme val="minor"/>
    </font>
    <font>
      <sz val="9"/>
      <color indexed="81"/>
      <name val="Tahoma"/>
      <family val="2"/>
    </font>
    <font>
      <b/>
      <sz val="18"/>
      <color theme="1"/>
      <name val="Calibri"/>
      <family val="2"/>
      <scheme val="minor"/>
    </font>
    <font>
      <b/>
      <i/>
      <sz val="10"/>
      <name val="Arial"/>
      <family val="2"/>
    </font>
    <font>
      <sz val="11"/>
      <name val="Calibri"/>
      <family val="2"/>
      <scheme val="minor"/>
    </font>
    <font>
      <i/>
      <sz val="10"/>
      <color theme="1"/>
      <name val="Calibri"/>
      <family val="2"/>
      <scheme val="minor"/>
    </font>
    <font>
      <b/>
      <u/>
      <sz val="11"/>
      <color theme="1"/>
      <name val="Calibri"/>
      <family val="2"/>
      <scheme val="minor"/>
    </font>
    <font>
      <sz val="9"/>
      <name val="Arial"/>
      <family val="2"/>
    </font>
    <font>
      <sz val="18"/>
      <color theme="1"/>
      <name val="Calibri"/>
      <family val="2"/>
      <scheme val="minor"/>
    </font>
    <font>
      <b/>
      <sz val="14"/>
      <color theme="1"/>
      <name val="Calibri"/>
      <family val="2"/>
      <scheme val="minor"/>
    </font>
    <font>
      <sz val="14"/>
      <name val="Arial"/>
      <family val="2"/>
    </font>
    <font>
      <sz val="14"/>
      <color theme="1"/>
      <name val="Calibri"/>
      <family val="2"/>
      <scheme val="minor"/>
    </font>
    <font>
      <b/>
      <sz val="9"/>
      <color indexed="81"/>
      <name val="Tahoma"/>
      <family val="2"/>
    </font>
    <font>
      <sz val="10"/>
      <name val="Arial"/>
      <family val="2"/>
    </font>
    <font>
      <sz val="11"/>
      <color rgb="FFFF0000"/>
      <name val="Calibri"/>
      <family val="2"/>
      <scheme val="minor"/>
    </font>
    <font>
      <b/>
      <sz val="1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i/>
      <sz val="11"/>
      <color theme="1"/>
      <name val="Calibri"/>
      <family val="2"/>
      <scheme val="minor"/>
    </font>
    <font>
      <b/>
      <u/>
      <sz val="11"/>
      <name val="Calibri"/>
      <family val="2"/>
      <scheme val="minor"/>
    </font>
    <font>
      <b/>
      <sz val="11"/>
      <color rgb="FF000000"/>
      <name val="Calibri"/>
      <family val="2"/>
      <scheme val="minor"/>
    </font>
    <font>
      <b/>
      <sz val="11"/>
      <color rgb="FFFF0000"/>
      <name val="Calibri"/>
      <family val="2"/>
      <scheme val="minor"/>
    </font>
    <font>
      <sz val="11"/>
      <color rgb="FF000000"/>
      <name val="Calibri"/>
      <family val="2"/>
      <scheme val="minor"/>
    </font>
  </fonts>
  <fills count="21">
    <fill>
      <patternFill patternType="none"/>
    </fill>
    <fill>
      <patternFill patternType="gray125"/>
    </fill>
    <fill>
      <patternFill patternType="solid">
        <fgColor indexed="2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00A2FF"/>
        <bgColor indexed="64"/>
      </patternFill>
    </fill>
    <fill>
      <patternFill patternType="solid">
        <fgColor theme="7" tint="0.59999389629810485"/>
        <bgColor indexed="64"/>
      </patternFill>
    </fill>
    <fill>
      <patternFill patternType="solid">
        <fgColor theme="0" tint="-0.14999847407452621"/>
        <bgColor indexed="64"/>
      </patternFill>
    </fill>
  </fills>
  <borders count="7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theme="0" tint="-0.14999847407452621"/>
      </right>
      <top/>
      <bottom/>
      <diagonal/>
    </border>
    <border>
      <left/>
      <right/>
      <top style="thin">
        <color theme="0" tint="-0.14999847407452621"/>
      </top>
      <bottom style="thin">
        <color theme="0" tint="-0.14999847407452621"/>
      </bottom>
      <diagonal/>
    </border>
    <border>
      <left/>
      <right style="thin">
        <color theme="0" tint="-0.14999847407452621"/>
      </right>
      <top/>
      <bottom style="thin">
        <color indexed="64"/>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9" fillId="0" borderId="0">
      <alignment horizontal="left" vertical="center" wrapText="1"/>
    </xf>
    <xf numFmtId="9" fontId="3" fillId="0" borderId="0" applyFont="0" applyFill="0" applyBorder="0" applyAlignment="0" applyProtection="0"/>
    <xf numFmtId="0" fontId="1" fillId="0" borderId="0"/>
    <xf numFmtId="9" fontId="1" fillId="0" borderId="0" applyFont="0" applyFill="0" applyBorder="0" applyAlignment="0" applyProtection="0"/>
    <xf numFmtId="44" fontId="25" fillId="0" borderId="0" applyFont="0" applyFill="0" applyBorder="0" applyAlignment="0" applyProtection="0"/>
    <xf numFmtId="0" fontId="32" fillId="0" borderId="0"/>
    <xf numFmtId="9" fontId="35" fillId="0" borderId="0" applyFont="0" applyFill="0" applyBorder="0" applyAlignment="0" applyProtection="0"/>
    <xf numFmtId="44" fontId="1" fillId="0" borderId="0" applyFont="0" applyFill="0" applyBorder="0" applyAlignment="0" applyProtection="0"/>
    <xf numFmtId="9" fontId="25" fillId="0" borderId="0" applyFont="0" applyFill="0" applyBorder="0" applyAlignment="0" applyProtection="0"/>
    <xf numFmtId="0" fontId="48" fillId="0" borderId="0"/>
    <xf numFmtId="43" fontId="48" fillId="0" borderId="0" applyFont="0" applyFill="0" applyBorder="0" applyAlignment="0" applyProtection="0"/>
    <xf numFmtId="0" fontId="3" fillId="0" borderId="0"/>
    <xf numFmtId="0" fontId="3" fillId="0" borderId="0"/>
    <xf numFmtId="9" fontId="3" fillId="0" borderId="0" applyFont="0" applyFill="0" applyBorder="0" applyAlignment="0" applyProtection="0"/>
  </cellStyleXfs>
  <cellXfs count="838">
    <xf numFmtId="0" fontId="0" fillId="0" borderId="0" xfId="0"/>
    <xf numFmtId="0" fontId="3" fillId="0" borderId="0" xfId="4"/>
    <xf numFmtId="0" fontId="5" fillId="2" borderId="0" xfId="4" applyFont="1" applyFill="1"/>
    <xf numFmtId="0" fontId="6" fillId="2" borderId="3" xfId="4" applyFont="1" applyFill="1" applyBorder="1"/>
    <xf numFmtId="0" fontId="7" fillId="2" borderId="4" xfId="4" applyFont="1" applyFill="1" applyBorder="1"/>
    <xf numFmtId="0" fontId="6" fillId="2" borderId="5" xfId="4" applyFont="1" applyFill="1" applyBorder="1"/>
    <xf numFmtId="0" fontId="6" fillId="0" borderId="0" xfId="4" applyFont="1"/>
    <xf numFmtId="0" fontId="8" fillId="3" borderId="0" xfId="5" applyFont="1" applyFill="1"/>
    <xf numFmtId="0" fontId="8" fillId="4" borderId="0" xfId="5" applyFont="1" applyFill="1"/>
    <xf numFmtId="0" fontId="8" fillId="5" borderId="0" xfId="5" applyFont="1" applyFill="1"/>
    <xf numFmtId="0" fontId="8" fillId="6" borderId="0" xfId="4" applyFont="1" applyFill="1" applyAlignment="1">
      <alignment horizontal="center"/>
    </xf>
    <xf numFmtId="0" fontId="8" fillId="7" borderId="0" xfId="4" applyFont="1" applyFill="1" applyAlignment="1">
      <alignment horizontal="center"/>
    </xf>
    <xf numFmtId="14" fontId="6" fillId="0" borderId="0" xfId="4" applyNumberFormat="1" applyFont="1"/>
    <xf numFmtId="164" fontId="3" fillId="0" borderId="0" xfId="4" applyNumberFormat="1"/>
    <xf numFmtId="2" fontId="3" fillId="0" borderId="0" xfId="4" applyNumberFormat="1"/>
    <xf numFmtId="0" fontId="6" fillId="0" borderId="0" xfId="6" applyFont="1" applyAlignment="1"/>
    <xf numFmtId="0" fontId="9" fillId="0" borderId="0" xfId="6" applyAlignment="1"/>
    <xf numFmtId="0" fontId="10" fillId="0" borderId="0" xfId="6" applyFont="1" applyAlignment="1"/>
    <xf numFmtId="0" fontId="11" fillId="0" borderId="0" xfId="6" applyFont="1" applyAlignment="1"/>
    <xf numFmtId="0" fontId="9" fillId="0" borderId="6" xfId="6" applyBorder="1" applyAlignment="1"/>
    <xf numFmtId="0" fontId="9" fillId="0" borderId="7" xfId="6" applyBorder="1" applyAlignment="1"/>
    <xf numFmtId="0" fontId="9" fillId="0" borderId="8" xfId="6" applyBorder="1" applyAlignment="1"/>
    <xf numFmtId="165" fontId="3" fillId="0" borderId="0" xfId="4" applyNumberFormat="1"/>
    <xf numFmtId="0" fontId="9" fillId="0" borderId="9" xfId="6" applyBorder="1" applyAlignment="1"/>
    <xf numFmtId="0" fontId="9" fillId="0" borderId="0" xfId="6" applyAlignment="1">
      <alignment horizontal="right"/>
    </xf>
    <xf numFmtId="0" fontId="6" fillId="0" borderId="0" xfId="6" applyFont="1" applyAlignment="1">
      <alignment horizontal="center"/>
    </xf>
    <xf numFmtId="0" fontId="9" fillId="0" borderId="10" xfId="6" applyBorder="1" applyAlignment="1"/>
    <xf numFmtId="14" fontId="6" fillId="0" borderId="0" xfId="4" applyNumberFormat="1" applyFont="1" applyAlignment="1">
      <alignment horizontal="center"/>
    </xf>
    <xf numFmtId="0" fontId="12" fillId="0" borderId="10" xfId="6" applyFont="1" applyBorder="1" applyAlignment="1">
      <alignment horizontal="center"/>
    </xf>
    <xf numFmtId="164" fontId="3" fillId="0" borderId="11" xfId="4" applyNumberFormat="1" applyBorder="1"/>
    <xf numFmtId="0" fontId="9" fillId="0" borderId="12" xfId="6" applyBorder="1" applyAlignment="1"/>
    <xf numFmtId="164" fontId="9" fillId="0" borderId="10" xfId="6" applyNumberFormat="1" applyBorder="1" applyAlignment="1">
      <alignment horizontal="center"/>
    </xf>
    <xf numFmtId="0" fontId="9" fillId="0" borderId="10" xfId="6" applyBorder="1" applyAlignment="1">
      <alignment horizontal="center"/>
    </xf>
    <xf numFmtId="0" fontId="9" fillId="0" borderId="9" xfId="6" applyBorder="1" applyAlignment="1">
      <alignment horizontal="right"/>
    </xf>
    <xf numFmtId="164" fontId="6" fillId="0" borderId="0" xfId="4" applyNumberFormat="1" applyFont="1" applyAlignment="1">
      <alignment horizontal="center"/>
    </xf>
    <xf numFmtId="164" fontId="3" fillId="0" borderId="13" xfId="4" applyNumberFormat="1" applyBorder="1"/>
    <xf numFmtId="0" fontId="6" fillId="8" borderId="0" xfId="6" applyFont="1" applyFill="1" applyAlignment="1">
      <alignment horizontal="right"/>
    </xf>
    <xf numFmtId="10" fontId="6" fillId="8" borderId="10" xfId="7" applyNumberFormat="1" applyFont="1" applyFill="1" applyBorder="1" applyAlignment="1">
      <alignment horizontal="center"/>
    </xf>
    <xf numFmtId="0" fontId="9" fillId="0" borderId="14" xfId="6" applyBorder="1" applyAlignment="1"/>
    <xf numFmtId="0" fontId="9" fillId="0" borderId="15" xfId="6" applyBorder="1" applyAlignment="1"/>
    <xf numFmtId="0" fontId="9" fillId="0" borderId="16" xfId="6" applyBorder="1" applyAlignment="1"/>
    <xf numFmtId="0" fontId="13" fillId="0" borderId="0" xfId="8" applyFont="1"/>
    <xf numFmtId="0" fontId="14" fillId="0" borderId="0" xfId="8" applyFont="1" applyAlignment="1">
      <alignment horizontal="center"/>
    </xf>
    <xf numFmtId="0" fontId="13" fillId="0" borderId="0" xfId="8" applyFont="1" applyAlignment="1">
      <alignment wrapText="1"/>
    </xf>
    <xf numFmtId="17" fontId="15" fillId="0" borderId="0" xfId="8" applyNumberFormat="1" applyFont="1" applyAlignment="1">
      <alignment horizontal="center"/>
    </xf>
    <xf numFmtId="166" fontId="16" fillId="0" borderId="0" xfId="8" applyNumberFormat="1" applyFont="1" applyAlignment="1">
      <alignment horizontal="left" vertical="top"/>
    </xf>
    <xf numFmtId="0" fontId="16" fillId="0" borderId="0" xfId="8" applyFont="1" applyAlignment="1">
      <alignment horizontal="center"/>
    </xf>
    <xf numFmtId="0" fontId="16" fillId="0" borderId="0" xfId="8" applyFont="1"/>
    <xf numFmtId="9" fontId="16" fillId="0" borderId="0" xfId="8" applyNumberFormat="1" applyFont="1" applyAlignment="1">
      <alignment horizontal="center" wrapText="1"/>
    </xf>
    <xf numFmtId="0" fontId="16" fillId="0" borderId="0" xfId="8" applyFont="1" applyAlignment="1">
      <alignment horizontal="left" wrapText="1"/>
    </xf>
    <xf numFmtId="0" fontId="13" fillId="0" borderId="17" xfId="8" applyFont="1" applyBorder="1"/>
    <xf numFmtId="167" fontId="13" fillId="0" borderId="18" xfId="8" applyNumberFormat="1" applyFont="1" applyBorder="1" applyAlignment="1">
      <alignment horizontal="center"/>
    </xf>
    <xf numFmtId="0" fontId="13" fillId="0" borderId="19" xfId="8" applyFont="1" applyBorder="1"/>
    <xf numFmtId="168" fontId="13" fillId="0" borderId="4" xfId="8" applyNumberFormat="1" applyFont="1" applyBorder="1" applyAlignment="1">
      <alignment horizontal="center"/>
    </xf>
    <xf numFmtId="0" fontId="13" fillId="0" borderId="1" xfId="8" applyFont="1" applyBorder="1"/>
    <xf numFmtId="0" fontId="13" fillId="0" borderId="20" xfId="8" applyFont="1" applyBorder="1"/>
    <xf numFmtId="168" fontId="13" fillId="0" borderId="0" xfId="8" applyNumberFormat="1" applyFont="1" applyAlignment="1">
      <alignment horizontal="center"/>
    </xf>
    <xf numFmtId="0" fontId="13" fillId="0" borderId="4" xfId="8" applyFont="1" applyBorder="1"/>
    <xf numFmtId="0" fontId="13" fillId="0" borderId="17" xfId="8" applyFont="1" applyBorder="1" applyAlignment="1">
      <alignment wrapText="1"/>
    </xf>
    <xf numFmtId="0" fontId="13" fillId="0" borderId="19" xfId="8" applyFont="1" applyBorder="1" applyAlignment="1">
      <alignment wrapText="1"/>
    </xf>
    <xf numFmtId="167" fontId="13" fillId="0" borderId="1" xfId="8" applyNumberFormat="1" applyFont="1" applyBorder="1" applyAlignment="1">
      <alignment horizontal="center"/>
    </xf>
    <xf numFmtId="167" fontId="13" fillId="0" borderId="0" xfId="8" applyNumberFormat="1" applyFont="1" applyAlignment="1">
      <alignment horizontal="center"/>
    </xf>
    <xf numFmtId="0" fontId="13" fillId="0" borderId="0" xfId="8" applyFont="1" applyAlignment="1">
      <alignment horizontal="right" wrapText="1"/>
    </xf>
    <xf numFmtId="0" fontId="13" fillId="0" borderId="0" xfId="8" applyFont="1" applyAlignment="1">
      <alignment horizontal="center"/>
    </xf>
    <xf numFmtId="0" fontId="13" fillId="0" borderId="0" xfId="8" applyFont="1" applyAlignment="1">
      <alignment horizontal="right"/>
    </xf>
    <xf numFmtId="10" fontId="13" fillId="0" borderId="0" xfId="9" applyNumberFormat="1" applyFont="1" applyAlignment="1">
      <alignment horizontal="center"/>
    </xf>
    <xf numFmtId="9" fontId="13" fillId="0" borderId="0" xfId="9" applyFont="1" applyAlignment="1">
      <alignment horizontal="center"/>
    </xf>
    <xf numFmtId="9" fontId="13" fillId="0" borderId="0" xfId="9" applyFont="1"/>
    <xf numFmtId="167" fontId="13" fillId="0" borderId="0" xfId="8" applyNumberFormat="1" applyFont="1"/>
    <xf numFmtId="168" fontId="13" fillId="0" borderId="0" xfId="8" applyNumberFormat="1" applyFont="1"/>
    <xf numFmtId="0" fontId="17" fillId="0" borderId="0" xfId="0" applyFont="1"/>
    <xf numFmtId="14" fontId="17" fillId="0" borderId="0" xfId="0" applyNumberFormat="1" applyFont="1" applyAlignment="1">
      <alignment horizontal="left"/>
    </xf>
    <xf numFmtId="0" fontId="19" fillId="9" borderId="19" xfId="0" applyFont="1" applyFill="1" applyBorder="1" applyAlignment="1">
      <alignment horizontal="center"/>
    </xf>
    <xf numFmtId="0" fontId="18" fillId="9" borderId="4" xfId="0" applyFont="1" applyFill="1" applyBorder="1" applyAlignment="1">
      <alignment horizontal="center"/>
    </xf>
    <xf numFmtId="0" fontId="19" fillId="9" borderId="4" xfId="0" applyFont="1" applyFill="1" applyBorder="1"/>
    <xf numFmtId="3" fontId="19" fillId="9" borderId="5" xfId="0" applyNumberFormat="1" applyFont="1" applyFill="1" applyBorder="1"/>
    <xf numFmtId="0" fontId="19" fillId="0" borderId="19" xfId="0" applyFont="1" applyBorder="1" applyAlignment="1">
      <alignment horizontal="center"/>
    </xf>
    <xf numFmtId="0" fontId="18" fillId="0" borderId="4" xfId="0" applyFont="1" applyBorder="1" applyAlignment="1">
      <alignment horizontal="center"/>
    </xf>
    <xf numFmtId="0" fontId="19" fillId="0" borderId="4" xfId="0" applyFont="1" applyBorder="1"/>
    <xf numFmtId="3" fontId="19" fillId="0" borderId="5" xfId="0" applyNumberFormat="1" applyFont="1" applyBorder="1"/>
    <xf numFmtId="0" fontId="18" fillId="0" borderId="26" xfId="0" applyFont="1" applyBorder="1" applyAlignment="1">
      <alignment horizontal="center" vertical="center"/>
    </xf>
    <xf numFmtId="0" fontId="19" fillId="9" borderId="24" xfId="0" applyFont="1" applyFill="1" applyBorder="1" applyAlignment="1">
      <alignment horizontal="center" vertical="center"/>
    </xf>
    <xf numFmtId="0" fontId="17" fillId="9" borderId="1" xfId="0" applyFont="1" applyFill="1" applyBorder="1" applyAlignment="1">
      <alignment horizontal="center"/>
    </xf>
    <xf numFmtId="0" fontId="17" fillId="9" borderId="18" xfId="0" applyFont="1" applyFill="1" applyBorder="1" applyAlignment="1">
      <alignment horizontal="center"/>
    </xf>
    <xf numFmtId="169" fontId="17" fillId="9" borderId="27" xfId="2" applyNumberFormat="1" applyFont="1" applyFill="1" applyBorder="1" applyAlignment="1">
      <alignment horizontal="center"/>
    </xf>
    <xf numFmtId="169" fontId="17" fillId="12" borderId="0" xfId="2" applyNumberFormat="1" applyFont="1" applyFill="1" applyAlignment="1">
      <alignment horizontal="center"/>
    </xf>
    <xf numFmtId="0" fontId="19" fillId="0" borderId="24" xfId="0" applyFont="1" applyBorder="1" applyAlignment="1">
      <alignment horizontal="center" vertical="center"/>
    </xf>
    <xf numFmtId="0" fontId="17" fillId="12" borderId="1" xfId="0" applyFont="1" applyFill="1" applyBorder="1" applyAlignment="1">
      <alignment horizontal="center"/>
    </xf>
    <xf numFmtId="0" fontId="17" fillId="12" borderId="18" xfId="0" applyFont="1" applyFill="1" applyBorder="1" applyAlignment="1">
      <alignment horizontal="center"/>
    </xf>
    <xf numFmtId="169" fontId="17" fillId="12" borderId="27" xfId="2" applyNumberFormat="1" applyFont="1" applyFill="1" applyBorder="1" applyAlignment="1">
      <alignment horizontal="center"/>
    </xf>
    <xf numFmtId="0" fontId="20" fillId="12" borderId="20" xfId="0" applyFont="1" applyFill="1" applyBorder="1" applyAlignment="1">
      <alignment horizontal="left" vertical="top" wrapText="1" readingOrder="1"/>
    </xf>
    <xf numFmtId="42" fontId="18" fillId="12" borderId="28" xfId="0" applyNumberFormat="1" applyFont="1" applyFill="1" applyBorder="1" applyAlignment="1">
      <alignment vertical="top"/>
    </xf>
    <xf numFmtId="0" fontId="17" fillId="12" borderId="3" xfId="0" applyFont="1" applyFill="1" applyBorder="1"/>
    <xf numFmtId="0" fontId="18" fillId="9" borderId="29" xfId="0" applyFont="1" applyFill="1" applyBorder="1" applyAlignment="1">
      <alignment vertical="top"/>
    </xf>
    <xf numFmtId="0" fontId="17" fillId="9" borderId="7" xfId="0" applyFont="1" applyFill="1" applyBorder="1"/>
    <xf numFmtId="0" fontId="17" fillId="9" borderId="0" xfId="0" applyFont="1" applyFill="1" applyAlignment="1">
      <alignment horizontal="center"/>
    </xf>
    <xf numFmtId="0" fontId="17" fillId="9" borderId="30" xfId="0" applyFont="1" applyFill="1" applyBorder="1"/>
    <xf numFmtId="0" fontId="21" fillId="0" borderId="29" xfId="0" applyFont="1" applyBorder="1" applyAlignment="1">
      <alignment vertical="top"/>
    </xf>
    <xf numFmtId="0" fontId="17" fillId="0" borderId="7" xfId="0" applyFont="1" applyBorder="1"/>
    <xf numFmtId="0" fontId="17" fillId="0" borderId="0" xfId="0" applyFont="1" applyAlignment="1">
      <alignment horizontal="center"/>
    </xf>
    <xf numFmtId="0" fontId="17" fillId="0" borderId="30" xfId="0" applyFont="1" applyBorder="1"/>
    <xf numFmtId="0" fontId="20" fillId="9" borderId="20" xfId="0" applyFont="1" applyFill="1" applyBorder="1" applyAlignment="1">
      <alignment horizontal="left" vertical="top" wrapText="1" readingOrder="1"/>
    </xf>
    <xf numFmtId="42" fontId="22" fillId="9" borderId="0" xfId="0" applyNumberFormat="1" applyFont="1" applyFill="1" applyAlignment="1">
      <alignment vertical="top"/>
    </xf>
    <xf numFmtId="4" fontId="23" fillId="9" borderId="0" xfId="0" applyNumberFormat="1" applyFont="1" applyFill="1" applyAlignment="1">
      <alignment horizontal="center" vertical="top"/>
    </xf>
    <xf numFmtId="169" fontId="17" fillId="9" borderId="3" xfId="2" applyNumberFormat="1" applyFont="1" applyFill="1" applyBorder="1" applyAlignment="1">
      <alignment horizontal="center"/>
    </xf>
    <xf numFmtId="169" fontId="17" fillId="0" borderId="0" xfId="2" applyNumberFormat="1" applyFont="1" applyAlignment="1">
      <alignment horizontal="center"/>
    </xf>
    <xf numFmtId="0" fontId="20" fillId="0" borderId="20" xfId="0" applyFont="1" applyBorder="1" applyAlignment="1">
      <alignment horizontal="left" vertical="top" wrapText="1" readingOrder="1"/>
    </xf>
    <xf numFmtId="42" fontId="18" fillId="0" borderId="0" xfId="0" applyNumberFormat="1" applyFont="1" applyAlignment="1">
      <alignment vertical="top"/>
    </xf>
    <xf numFmtId="4" fontId="23" fillId="0" borderId="0" xfId="0" applyNumberFormat="1" applyFont="1" applyAlignment="1">
      <alignment horizontal="center" vertical="top"/>
    </xf>
    <xf numFmtId="169" fontId="17" fillId="0" borderId="3" xfId="2" applyNumberFormat="1" applyFont="1" applyBorder="1" applyAlignment="1">
      <alignment horizontal="center"/>
    </xf>
    <xf numFmtId="42" fontId="18" fillId="0" borderId="28" xfId="0" applyNumberFormat="1" applyFont="1" applyBorder="1" applyAlignment="1">
      <alignment vertical="top"/>
    </xf>
    <xf numFmtId="0" fontId="18" fillId="9" borderId="20" xfId="0" applyFont="1" applyFill="1" applyBorder="1" applyAlignment="1">
      <alignment vertical="top"/>
    </xf>
    <xf numFmtId="42" fontId="19" fillId="9" borderId="0" xfId="0" applyNumberFormat="1" applyFont="1" applyFill="1" applyAlignment="1">
      <alignment vertical="top"/>
    </xf>
    <xf numFmtId="0" fontId="21" fillId="0" borderId="20" xfId="0" applyFont="1" applyBorder="1" applyAlignment="1">
      <alignment vertical="top"/>
    </xf>
    <xf numFmtId="169" fontId="17" fillId="9" borderId="3" xfId="2" applyNumberFormat="1" applyFont="1" applyFill="1" applyBorder="1" applyAlignment="1">
      <alignment horizontal="center" vertical="top"/>
    </xf>
    <xf numFmtId="169" fontId="17" fillId="0" borderId="0" xfId="2" applyNumberFormat="1" applyFont="1" applyAlignment="1">
      <alignment horizontal="center" vertical="top"/>
    </xf>
    <xf numFmtId="169" fontId="17" fillId="0" borderId="3" xfId="2" applyNumberFormat="1" applyFont="1" applyBorder="1" applyAlignment="1">
      <alignment horizontal="center" vertical="top"/>
    </xf>
    <xf numFmtId="0" fontId="20" fillId="12" borderId="31" xfId="0" applyFont="1" applyFill="1" applyBorder="1" applyAlignment="1">
      <alignment horizontal="left" vertical="top" wrapText="1" readingOrder="1"/>
    </xf>
    <xf numFmtId="42" fontId="18" fillId="12" borderId="32" xfId="0" applyNumberFormat="1" applyFont="1" applyFill="1" applyBorder="1" applyAlignment="1">
      <alignment vertical="top"/>
    </xf>
    <xf numFmtId="0" fontId="17" fillId="12" borderId="35" xfId="0" applyFont="1" applyFill="1" applyBorder="1"/>
    <xf numFmtId="2" fontId="18" fillId="0" borderId="28" xfId="0" applyNumberFormat="1" applyFont="1" applyBorder="1" applyAlignment="1">
      <alignment horizontal="center" vertical="top"/>
    </xf>
    <xf numFmtId="0" fontId="17" fillId="0" borderId="3" xfId="0" applyFont="1" applyBorder="1"/>
    <xf numFmtId="0" fontId="19" fillId="9" borderId="33" xfId="0" applyFont="1" applyFill="1" applyBorder="1"/>
    <xf numFmtId="169" fontId="17" fillId="9" borderId="36" xfId="0" applyNumberFormat="1" applyFont="1" applyFill="1" applyBorder="1" applyAlignment="1">
      <alignment horizontal="center"/>
    </xf>
    <xf numFmtId="0" fontId="17" fillId="9" borderId="36" xfId="0" applyFont="1" applyFill="1" applyBorder="1" applyAlignment="1">
      <alignment horizontal="center"/>
    </xf>
    <xf numFmtId="42" fontId="17" fillId="9" borderId="35" xfId="0" applyNumberFormat="1" applyFont="1" applyFill="1" applyBorder="1" applyAlignment="1">
      <alignment horizontal="center"/>
    </xf>
    <xf numFmtId="42" fontId="17" fillId="0" borderId="0" xfId="0" applyNumberFormat="1" applyFont="1" applyAlignment="1">
      <alignment horizontal="center"/>
    </xf>
    <xf numFmtId="0" fontId="17" fillId="9" borderId="20" xfId="0" applyFont="1" applyFill="1" applyBorder="1"/>
    <xf numFmtId="0" fontId="19" fillId="0" borderId="33" xfId="0" applyFont="1" applyBorder="1"/>
    <xf numFmtId="169" fontId="17" fillId="0" borderId="36" xfId="0" applyNumberFormat="1" applyFont="1" applyBorder="1" applyAlignment="1">
      <alignment horizontal="center"/>
    </xf>
    <xf numFmtId="0" fontId="17" fillId="0" borderId="36" xfId="0" applyFont="1" applyBorder="1" applyAlignment="1">
      <alignment horizontal="center"/>
    </xf>
    <xf numFmtId="42" fontId="17" fillId="0" borderId="35" xfId="0" applyNumberFormat="1" applyFont="1" applyBorder="1" applyAlignment="1">
      <alignment horizontal="center"/>
    </xf>
    <xf numFmtId="0" fontId="17" fillId="9" borderId="33" xfId="0" applyFont="1" applyFill="1" applyBorder="1"/>
    <xf numFmtId="0" fontId="17" fillId="9" borderId="36" xfId="0" applyFont="1" applyFill="1" applyBorder="1"/>
    <xf numFmtId="2" fontId="17" fillId="9" borderId="36" xfId="0" applyNumberFormat="1" applyFont="1" applyFill="1" applyBorder="1" applyAlignment="1">
      <alignment horizontal="center"/>
    </xf>
    <xf numFmtId="169" fontId="17" fillId="9" borderId="35" xfId="2" applyNumberFormat="1" applyFont="1" applyFill="1" applyBorder="1"/>
    <xf numFmtId="169" fontId="17" fillId="0" borderId="0" xfId="2" applyNumberFormat="1" applyFont="1"/>
    <xf numFmtId="0" fontId="17" fillId="0" borderId="33" xfId="0" applyFont="1" applyBorder="1"/>
    <xf numFmtId="4" fontId="17" fillId="0" borderId="0" xfId="0" applyNumberFormat="1" applyFont="1" applyAlignment="1">
      <alignment horizontal="center"/>
    </xf>
    <xf numFmtId="0" fontId="17" fillId="9" borderId="0" xfId="0" applyFont="1" applyFill="1"/>
    <xf numFmtId="0" fontId="17" fillId="9" borderId="3" xfId="0" applyFont="1" applyFill="1" applyBorder="1"/>
    <xf numFmtId="0" fontId="17" fillId="0" borderId="29" xfId="0" applyFont="1" applyBorder="1"/>
    <xf numFmtId="2" fontId="17" fillId="0" borderId="7" xfId="0" applyNumberFormat="1" applyFont="1" applyBorder="1" applyAlignment="1">
      <alignment horizontal="center"/>
    </xf>
    <xf numFmtId="169" fontId="17" fillId="0" borderId="30" xfId="2" applyNumberFormat="1" applyFont="1" applyBorder="1"/>
    <xf numFmtId="10" fontId="17" fillId="9" borderId="0" xfId="0" applyNumberFormat="1" applyFont="1" applyFill="1" applyAlignment="1">
      <alignment horizontal="center"/>
    </xf>
    <xf numFmtId="169" fontId="17" fillId="9" borderId="3" xfId="0" applyNumberFormat="1" applyFont="1" applyFill="1" applyBorder="1"/>
    <xf numFmtId="169" fontId="17" fillId="0" borderId="0" xfId="0" applyNumberFormat="1" applyFont="1"/>
    <xf numFmtId="0" fontId="17" fillId="0" borderId="20" xfId="0" applyFont="1" applyBorder="1"/>
    <xf numFmtId="10" fontId="18" fillId="0" borderId="0" xfId="3" applyNumberFormat="1" applyFont="1" applyAlignment="1">
      <alignment horizontal="center" vertical="top"/>
    </xf>
    <xf numFmtId="169" fontId="17" fillId="0" borderId="3" xfId="0" applyNumberFormat="1" applyFont="1" applyBorder="1"/>
    <xf numFmtId="169" fontId="17" fillId="9" borderId="35" xfId="0" applyNumberFormat="1" applyFont="1" applyFill="1" applyBorder="1"/>
    <xf numFmtId="0" fontId="17" fillId="0" borderId="36" xfId="0" applyFont="1" applyBorder="1"/>
    <xf numFmtId="169" fontId="17" fillId="0" borderId="35" xfId="0" applyNumberFormat="1" applyFont="1" applyBorder="1"/>
    <xf numFmtId="0" fontId="20" fillId="0" borderId="31" xfId="0" applyFont="1" applyBorder="1" applyAlignment="1">
      <alignment horizontal="left" vertical="top" wrapText="1" readingOrder="1"/>
    </xf>
    <xf numFmtId="2" fontId="18" fillId="0" borderId="32" xfId="0" applyNumberFormat="1" applyFont="1" applyBorder="1" applyAlignment="1">
      <alignment horizontal="center" vertical="top"/>
    </xf>
    <xf numFmtId="0" fontId="17" fillId="0" borderId="26" xfId="0" applyFont="1" applyBorder="1"/>
    <xf numFmtId="0" fontId="17" fillId="0" borderId="35" xfId="0" applyFont="1" applyBorder="1"/>
    <xf numFmtId="169" fontId="17" fillId="9" borderId="0" xfId="0" applyNumberFormat="1" applyFont="1" applyFill="1" applyAlignment="1">
      <alignment horizontal="right"/>
    </xf>
    <xf numFmtId="169" fontId="17" fillId="9" borderId="3" xfId="2" applyNumberFormat="1" applyFont="1" applyFill="1" applyBorder="1"/>
    <xf numFmtId="169" fontId="17" fillId="0" borderId="0" xfId="0" applyNumberFormat="1" applyFont="1" applyAlignment="1">
      <alignment horizontal="right"/>
    </xf>
    <xf numFmtId="169" fontId="17" fillId="0" borderId="3" xfId="2" applyNumberFormat="1" applyFont="1" applyBorder="1"/>
    <xf numFmtId="0" fontId="18" fillId="0" borderId="20" xfId="0" applyFont="1" applyBorder="1"/>
    <xf numFmtId="10" fontId="24" fillId="0" borderId="28" xfId="0" applyNumberFormat="1" applyFont="1" applyBorder="1" applyAlignment="1">
      <alignment horizontal="center"/>
    </xf>
    <xf numFmtId="5" fontId="18" fillId="12" borderId="28" xfId="2" applyNumberFormat="1" applyFont="1" applyFill="1" applyBorder="1" applyAlignment="1">
      <alignment horizontal="center" vertical="top"/>
    </xf>
    <xf numFmtId="0" fontId="18" fillId="12" borderId="3" xfId="0" applyFont="1" applyFill="1" applyBorder="1"/>
    <xf numFmtId="0" fontId="18" fillId="12" borderId="20" xfId="0" applyFont="1" applyFill="1" applyBorder="1" applyAlignment="1">
      <alignment horizontal="left" vertical="top"/>
    </xf>
    <xf numFmtId="0" fontId="17" fillId="9" borderId="29" xfId="0" applyFont="1" applyFill="1" applyBorder="1"/>
    <xf numFmtId="169" fontId="17" fillId="9" borderId="30" xfId="0" applyNumberFormat="1" applyFont="1" applyFill="1" applyBorder="1"/>
    <xf numFmtId="0" fontId="17" fillId="0" borderId="37" xfId="0" applyFont="1" applyBorder="1"/>
    <xf numFmtId="0" fontId="17" fillId="0" borderId="38" xfId="0" applyFont="1" applyBorder="1"/>
    <xf numFmtId="10" fontId="17" fillId="0" borderId="38" xfId="0" applyNumberFormat="1" applyFont="1" applyBorder="1" applyAlignment="1">
      <alignment horizontal="center"/>
    </xf>
    <xf numFmtId="169" fontId="17" fillId="0" borderId="39" xfId="0" applyNumberFormat="1" applyFont="1" applyBorder="1"/>
    <xf numFmtId="0" fontId="18" fillId="12" borderId="20" xfId="0" applyFont="1" applyFill="1" applyBorder="1"/>
    <xf numFmtId="10" fontId="18" fillId="12" borderId="28" xfId="0" applyNumberFormat="1" applyFont="1" applyFill="1" applyBorder="1" applyAlignment="1">
      <alignment horizontal="center"/>
    </xf>
    <xf numFmtId="0" fontId="17" fillId="0" borderId="31" xfId="0" applyFont="1" applyBorder="1"/>
    <xf numFmtId="0" fontId="17" fillId="0" borderId="15" xfId="0" applyFont="1" applyBorder="1"/>
    <xf numFmtId="10" fontId="17" fillId="0" borderId="15" xfId="0" applyNumberFormat="1" applyFont="1" applyBorder="1" applyAlignment="1">
      <alignment horizontal="center"/>
    </xf>
    <xf numFmtId="169" fontId="17" fillId="0" borderId="26" xfId="0" applyNumberFormat="1" applyFont="1" applyBorder="1"/>
    <xf numFmtId="0" fontId="17" fillId="9" borderId="31" xfId="0" applyFont="1" applyFill="1" applyBorder="1"/>
    <xf numFmtId="0" fontId="17" fillId="9" borderId="15" xfId="0" applyFont="1" applyFill="1" applyBorder="1"/>
    <xf numFmtId="10" fontId="17" fillId="9" borderId="15" xfId="0" applyNumberFormat="1" applyFont="1" applyFill="1" applyBorder="1" applyAlignment="1">
      <alignment horizontal="center"/>
    </xf>
    <xf numFmtId="169" fontId="17" fillId="9" borderId="26" xfId="0" applyNumberFormat="1" applyFont="1" applyFill="1" applyBorder="1"/>
    <xf numFmtId="0" fontId="17" fillId="12" borderId="7" xfId="0" applyFont="1" applyFill="1" applyBorder="1"/>
    <xf numFmtId="10" fontId="17" fillId="0" borderId="0" xfId="3" applyNumberFormat="1" applyFont="1" applyAlignment="1">
      <alignment horizontal="center"/>
    </xf>
    <xf numFmtId="0" fontId="18" fillId="12" borderId="19" xfId="0" applyFont="1" applyFill="1" applyBorder="1"/>
    <xf numFmtId="9" fontId="17" fillId="12" borderId="40" xfId="0" applyNumberFormat="1" applyFont="1" applyFill="1" applyBorder="1" applyAlignment="1">
      <alignment horizontal="center"/>
    </xf>
    <xf numFmtId="0" fontId="17" fillId="12" borderId="5" xfId="0" applyFont="1" applyFill="1" applyBorder="1"/>
    <xf numFmtId="10" fontId="17" fillId="9" borderId="20" xfId="3" applyNumberFormat="1" applyFont="1" applyFill="1" applyBorder="1"/>
    <xf numFmtId="0" fontId="17" fillId="12" borderId="6" xfId="0" applyFont="1" applyFill="1" applyBorder="1"/>
    <xf numFmtId="10" fontId="17" fillId="0" borderId="7" xfId="3" applyNumberFormat="1" applyFont="1" applyBorder="1" applyAlignment="1">
      <alignment horizontal="center"/>
    </xf>
    <xf numFmtId="169" fontId="17" fillId="0" borderId="8" xfId="0" applyNumberFormat="1" applyFont="1" applyBorder="1"/>
    <xf numFmtId="0" fontId="18" fillId="12" borderId="21" xfId="0" applyFont="1" applyFill="1" applyBorder="1"/>
    <xf numFmtId="10" fontId="17" fillId="12" borderId="22" xfId="0" applyNumberFormat="1" applyFont="1" applyFill="1" applyBorder="1" applyAlignment="1">
      <alignment horizontal="center"/>
    </xf>
    <xf numFmtId="0" fontId="17" fillId="12" borderId="23" xfId="0" applyFont="1" applyFill="1" applyBorder="1"/>
    <xf numFmtId="0" fontId="19" fillId="0" borderId="21" xfId="0" applyFont="1" applyBorder="1" applyAlignment="1">
      <alignment horizontal="left"/>
    </xf>
    <xf numFmtId="0" fontId="19" fillId="0" borderId="22" xfId="0" applyFont="1" applyBorder="1"/>
    <xf numFmtId="44" fontId="19" fillId="0" borderId="22" xfId="10" applyFont="1" applyBorder="1"/>
    <xf numFmtId="44" fontId="19" fillId="0" borderId="23" xfId="10" applyFont="1" applyBorder="1"/>
    <xf numFmtId="0" fontId="17" fillId="12" borderId="41" xfId="0" applyFont="1" applyFill="1" applyBorder="1"/>
    <xf numFmtId="0" fontId="19" fillId="9" borderId="20" xfId="0" applyFont="1" applyFill="1" applyBorder="1"/>
    <xf numFmtId="0" fontId="19" fillId="9" borderId="0" xfId="0" applyFont="1" applyFill="1"/>
    <xf numFmtId="44" fontId="19" fillId="9" borderId="0" xfId="10" applyFont="1" applyFill="1"/>
    <xf numFmtId="44" fontId="19" fillId="9" borderId="3" xfId="10" applyFont="1" applyFill="1" applyBorder="1"/>
    <xf numFmtId="170" fontId="18" fillId="0" borderId="19" xfId="0" applyNumberFormat="1" applyFont="1" applyBorder="1"/>
    <xf numFmtId="0" fontId="17" fillId="0" borderId="4" xfId="0" applyFont="1" applyBorder="1"/>
    <xf numFmtId="9" fontId="18" fillId="0" borderId="4" xfId="0" applyNumberFormat="1" applyFont="1" applyBorder="1" applyAlignment="1">
      <alignment horizontal="center"/>
    </xf>
    <xf numFmtId="44" fontId="18" fillId="8" borderId="42" xfId="10" applyFont="1" applyFill="1" applyBorder="1"/>
    <xf numFmtId="0" fontId="26" fillId="12" borderId="21" xfId="0" applyFont="1" applyFill="1" applyBorder="1"/>
    <xf numFmtId="10" fontId="26" fillId="12" borderId="22" xfId="0" applyNumberFormat="1" applyFont="1" applyFill="1" applyBorder="1" applyAlignment="1">
      <alignment horizontal="center"/>
    </xf>
    <xf numFmtId="0" fontId="26" fillId="12" borderId="23" xfId="0" applyFont="1" applyFill="1" applyBorder="1"/>
    <xf numFmtId="170" fontId="18" fillId="9" borderId="19" xfId="0" applyNumberFormat="1" applyFont="1" applyFill="1" applyBorder="1"/>
    <xf numFmtId="0" fontId="17" fillId="9" borderId="4" xfId="0" applyFont="1" applyFill="1" applyBorder="1"/>
    <xf numFmtId="9" fontId="18" fillId="9" borderId="4" xfId="0" applyNumberFormat="1" applyFont="1" applyFill="1" applyBorder="1" applyAlignment="1">
      <alignment horizontal="center"/>
    </xf>
    <xf numFmtId="44" fontId="18" fillId="9" borderId="43" xfId="10" applyFont="1" applyFill="1" applyBorder="1"/>
    <xf numFmtId="3" fontId="19" fillId="0" borderId="0" xfId="0" applyNumberFormat="1" applyFont="1"/>
    <xf numFmtId="44" fontId="27" fillId="0" borderId="0" xfId="2" applyFont="1"/>
    <xf numFmtId="0" fontId="18" fillId="12" borderId="0" xfId="0" applyFont="1" applyFill="1"/>
    <xf numFmtId="9" fontId="17" fillId="12" borderId="0" xfId="0" applyNumberFormat="1" applyFont="1" applyFill="1" applyAlignment="1">
      <alignment horizontal="center"/>
    </xf>
    <xf numFmtId="0" fontId="17" fillId="12" borderId="0" xfId="0" applyFont="1" applyFill="1"/>
    <xf numFmtId="10" fontId="17" fillId="0" borderId="0" xfId="3" applyNumberFormat="1" applyFont="1"/>
    <xf numFmtId="0" fontId="28" fillId="0" borderId="0" xfId="0" applyFont="1" applyAlignment="1">
      <alignment horizontal="center"/>
    </xf>
    <xf numFmtId="6" fontId="28" fillId="0" borderId="0" xfId="0" applyNumberFormat="1" applyFont="1" applyAlignment="1">
      <alignment horizontal="center"/>
    </xf>
    <xf numFmtId="0" fontId="29" fillId="9" borderId="19" xfId="0" applyFont="1" applyFill="1" applyBorder="1" applyAlignment="1">
      <alignment horizontal="center"/>
    </xf>
    <xf numFmtId="0" fontId="21" fillId="9" borderId="4" xfId="0" applyFont="1" applyFill="1" applyBorder="1" applyAlignment="1">
      <alignment horizontal="center"/>
    </xf>
    <xf numFmtId="0" fontId="29" fillId="9" borderId="4" xfId="0" applyFont="1" applyFill="1" applyBorder="1"/>
    <xf numFmtId="3" fontId="29" fillId="9" borderId="5" xfId="0" applyNumberFormat="1" applyFont="1" applyFill="1" applyBorder="1" applyAlignment="1">
      <alignment horizontal="center"/>
    </xf>
    <xf numFmtId="0" fontId="29" fillId="0" borderId="19" xfId="0" applyFont="1" applyBorder="1" applyAlignment="1">
      <alignment horizontal="center"/>
    </xf>
    <xf numFmtId="0" fontId="21" fillId="0" borderId="4" xfId="0" applyFont="1" applyBorder="1" applyAlignment="1">
      <alignment horizontal="center"/>
    </xf>
    <xf numFmtId="0" fontId="29" fillId="0" borderId="4" xfId="0" applyFont="1" applyBorder="1"/>
    <xf numFmtId="3" fontId="29" fillId="0" borderId="5" xfId="0" applyNumberFormat="1" applyFont="1" applyBorder="1" applyAlignment="1">
      <alignment horizontal="center"/>
    </xf>
    <xf numFmtId="0" fontId="21" fillId="0" borderId="26" xfId="0" applyFont="1" applyBorder="1" applyAlignment="1">
      <alignment horizontal="center" vertical="center"/>
    </xf>
    <xf numFmtId="0" fontId="21" fillId="9" borderId="17" xfId="0" applyFont="1" applyFill="1" applyBorder="1" applyAlignment="1">
      <alignment horizontal="center" vertical="center"/>
    </xf>
    <xf numFmtId="0" fontId="28" fillId="9" borderId="1" xfId="0" applyFont="1" applyFill="1" applyBorder="1" applyAlignment="1">
      <alignment horizontal="center"/>
    </xf>
    <xf numFmtId="0" fontId="28" fillId="9" borderId="18" xfId="0" applyFont="1" applyFill="1" applyBorder="1" applyAlignment="1">
      <alignment horizontal="center"/>
    </xf>
    <xf numFmtId="169" fontId="28" fillId="9" borderId="27" xfId="2" applyNumberFormat="1" applyFont="1" applyFill="1" applyBorder="1" applyAlignment="1">
      <alignment horizontal="center"/>
    </xf>
    <xf numFmtId="0" fontId="21" fillId="0" borderId="17" xfId="0" applyFont="1" applyBorder="1" applyAlignment="1">
      <alignment horizontal="center" vertical="center"/>
    </xf>
    <xf numFmtId="0" fontId="28" fillId="12" borderId="1" xfId="0" applyFont="1" applyFill="1" applyBorder="1" applyAlignment="1">
      <alignment horizontal="center"/>
    </xf>
    <xf numFmtId="0" fontId="28" fillId="12" borderId="18" xfId="0" applyFont="1" applyFill="1" applyBorder="1" applyAlignment="1">
      <alignment horizontal="center"/>
    </xf>
    <xf numFmtId="169" fontId="28" fillId="12" borderId="27" xfId="2" applyNumberFormat="1" applyFont="1" applyFill="1" applyBorder="1" applyAlignment="1">
      <alignment horizontal="center"/>
    </xf>
    <xf numFmtId="0" fontId="21" fillId="9" borderId="29" xfId="0" applyFont="1" applyFill="1" applyBorder="1" applyAlignment="1">
      <alignment vertical="top"/>
    </xf>
    <xf numFmtId="169" fontId="28" fillId="9" borderId="3" xfId="2" applyNumberFormat="1" applyFont="1" applyFill="1" applyBorder="1" applyAlignment="1">
      <alignment horizontal="center"/>
    </xf>
    <xf numFmtId="169" fontId="28" fillId="0" borderId="3" xfId="2" applyNumberFormat="1" applyFont="1" applyBorder="1" applyAlignment="1">
      <alignment horizontal="center"/>
    </xf>
    <xf numFmtId="0" fontId="21" fillId="9" borderId="20" xfId="0" applyFont="1" applyFill="1" applyBorder="1" applyAlignment="1">
      <alignment vertical="top" wrapText="1"/>
    </xf>
    <xf numFmtId="0" fontId="21" fillId="0" borderId="20" xfId="0" applyFont="1" applyBorder="1" applyAlignment="1">
      <alignment vertical="top" wrapText="1"/>
    </xf>
    <xf numFmtId="6" fontId="17" fillId="0" borderId="0" xfId="0" applyNumberFormat="1" applyFont="1"/>
    <xf numFmtId="169" fontId="28" fillId="9" borderId="3" xfId="2" applyNumberFormat="1" applyFont="1" applyFill="1" applyBorder="1" applyAlignment="1">
      <alignment horizontal="center" vertical="top"/>
    </xf>
    <xf numFmtId="169" fontId="28" fillId="0" borderId="3" xfId="2" applyNumberFormat="1" applyFont="1" applyBorder="1" applyAlignment="1">
      <alignment horizontal="center" vertical="top"/>
    </xf>
    <xf numFmtId="0" fontId="17" fillId="12" borderId="44" xfId="0" applyFont="1" applyFill="1" applyBorder="1"/>
    <xf numFmtId="0" fontId="17" fillId="12" borderId="20" xfId="0" applyFont="1" applyFill="1" applyBorder="1"/>
    <xf numFmtId="4" fontId="18" fillId="12" borderId="28" xfId="0" applyNumberFormat="1" applyFont="1" applyFill="1" applyBorder="1" applyAlignment="1">
      <alignment horizontal="center"/>
    </xf>
    <xf numFmtId="0" fontId="29" fillId="9" borderId="33" xfId="0" applyFont="1" applyFill="1" applyBorder="1"/>
    <xf numFmtId="169" fontId="28" fillId="9" borderId="36" xfId="0" applyNumberFormat="1" applyFont="1" applyFill="1" applyBorder="1" applyAlignment="1">
      <alignment horizontal="center"/>
    </xf>
    <xf numFmtId="4" fontId="28" fillId="9" borderId="36" xfId="0" applyNumberFormat="1" applyFont="1" applyFill="1" applyBorder="1" applyAlignment="1">
      <alignment horizontal="center"/>
    </xf>
    <xf numFmtId="169" fontId="28" fillId="9" borderId="35" xfId="0" applyNumberFormat="1" applyFont="1" applyFill="1" applyBorder="1" applyAlignment="1">
      <alignment horizontal="center"/>
    </xf>
    <xf numFmtId="42" fontId="18" fillId="0" borderId="15" xfId="0" applyNumberFormat="1" applyFont="1" applyBorder="1" applyAlignment="1">
      <alignment vertical="top"/>
    </xf>
    <xf numFmtId="4" fontId="23" fillId="0" borderId="15" xfId="0" applyNumberFormat="1" applyFont="1" applyBorder="1" applyAlignment="1">
      <alignment horizontal="center" vertical="top"/>
    </xf>
    <xf numFmtId="169" fontId="28" fillId="0" borderId="26" xfId="2" applyNumberFormat="1" applyFont="1" applyBorder="1" applyAlignment="1">
      <alignment horizontal="center"/>
    </xf>
    <xf numFmtId="0" fontId="28" fillId="9" borderId="0" xfId="0" applyFont="1" applyFill="1" applyAlignment="1">
      <alignment horizontal="center"/>
    </xf>
    <xf numFmtId="0" fontId="28" fillId="9" borderId="33" xfId="0" applyFont="1" applyFill="1" applyBorder="1"/>
    <xf numFmtId="0" fontId="28" fillId="9" borderId="36" xfId="0" applyFont="1" applyFill="1" applyBorder="1"/>
    <xf numFmtId="2" fontId="28" fillId="9" borderId="36" xfId="0" applyNumberFormat="1" applyFont="1" applyFill="1" applyBorder="1" applyAlignment="1">
      <alignment horizontal="center"/>
    </xf>
    <xf numFmtId="169" fontId="28" fillId="9" borderId="35" xfId="2" applyNumberFormat="1" applyFont="1" applyFill="1" applyBorder="1"/>
    <xf numFmtId="0" fontId="28" fillId="0" borderId="33" xfId="0" applyFont="1" applyBorder="1"/>
    <xf numFmtId="0" fontId="28" fillId="0" borderId="36" xfId="0" applyFont="1" applyBorder="1"/>
    <xf numFmtId="2" fontId="28" fillId="0" borderId="36" xfId="0" applyNumberFormat="1" applyFont="1" applyBorder="1" applyAlignment="1">
      <alignment horizontal="center"/>
    </xf>
    <xf numFmtId="169" fontId="28" fillId="0" borderId="35" xfId="2" applyNumberFormat="1" applyFont="1" applyBorder="1"/>
    <xf numFmtId="169" fontId="28" fillId="9" borderId="3" xfId="0" applyNumberFormat="1" applyFont="1" applyFill="1" applyBorder="1"/>
    <xf numFmtId="10" fontId="18" fillId="0" borderId="0" xfId="0" applyNumberFormat="1" applyFont="1" applyAlignment="1">
      <alignment horizontal="center"/>
    </xf>
    <xf numFmtId="10" fontId="17" fillId="0" borderId="0" xfId="0" applyNumberFormat="1" applyFont="1" applyAlignment="1">
      <alignment horizontal="center"/>
    </xf>
    <xf numFmtId="4" fontId="18" fillId="0" borderId="28" xfId="0" applyNumberFormat="1" applyFont="1" applyBorder="1" applyAlignment="1">
      <alignment horizontal="center"/>
    </xf>
    <xf numFmtId="169" fontId="28" fillId="9" borderId="35" xfId="0" applyNumberFormat="1" applyFont="1" applyFill="1" applyBorder="1"/>
    <xf numFmtId="169" fontId="28" fillId="0" borderId="35" xfId="0" applyNumberFormat="1" applyFont="1" applyBorder="1"/>
    <xf numFmtId="0" fontId="28" fillId="9" borderId="20" xfId="0" applyFont="1" applyFill="1" applyBorder="1"/>
    <xf numFmtId="0" fontId="28" fillId="0" borderId="20" xfId="0" applyFont="1" applyBorder="1"/>
    <xf numFmtId="169" fontId="28" fillId="0" borderId="3" xfId="0" applyNumberFormat="1" applyFont="1" applyBorder="1"/>
    <xf numFmtId="4" fontId="18" fillId="0" borderId="32" xfId="0" applyNumberFormat="1" applyFont="1" applyBorder="1" applyAlignment="1">
      <alignment horizontal="center"/>
    </xf>
    <xf numFmtId="0" fontId="17" fillId="12" borderId="26" xfId="0" applyFont="1" applyFill="1" applyBorder="1"/>
    <xf numFmtId="169" fontId="17" fillId="9" borderId="0" xfId="2" applyNumberFormat="1" applyFont="1" applyFill="1" applyAlignment="1">
      <alignment horizontal="right"/>
    </xf>
    <xf numFmtId="5" fontId="17" fillId="0" borderId="0" xfId="2" applyNumberFormat="1" applyFont="1" applyAlignment="1">
      <alignment horizontal="center"/>
    </xf>
    <xf numFmtId="169" fontId="17" fillId="9" borderId="0" xfId="2" applyNumberFormat="1" applyFont="1" applyFill="1" applyAlignment="1">
      <alignment horizontal="center"/>
    </xf>
    <xf numFmtId="10" fontId="18" fillId="0" borderId="28" xfId="0" applyNumberFormat="1" applyFont="1" applyBorder="1" applyAlignment="1">
      <alignment horizontal="center"/>
    </xf>
    <xf numFmtId="5" fontId="18" fillId="0" borderId="28" xfId="2" applyNumberFormat="1" applyFont="1" applyBorder="1" applyAlignment="1">
      <alignment horizontal="center"/>
    </xf>
    <xf numFmtId="0" fontId="28" fillId="9" borderId="29" xfId="0" applyFont="1" applyFill="1" applyBorder="1"/>
    <xf numFmtId="0" fontId="28" fillId="9" borderId="31" xfId="0" applyFont="1" applyFill="1" applyBorder="1"/>
    <xf numFmtId="169" fontId="28" fillId="9" borderId="26" xfId="0" applyNumberFormat="1" applyFont="1" applyFill="1" applyBorder="1"/>
    <xf numFmtId="0" fontId="17" fillId="0" borderId="45" xfId="0" applyFont="1" applyBorder="1"/>
    <xf numFmtId="169" fontId="28" fillId="0" borderId="26" xfId="0" applyNumberFormat="1" applyFont="1" applyBorder="1"/>
    <xf numFmtId="0" fontId="17" fillId="0" borderId="41" xfId="0" applyFont="1" applyBorder="1"/>
    <xf numFmtId="0" fontId="17" fillId="0" borderId="46" xfId="0" applyFont="1" applyBorder="1"/>
    <xf numFmtId="10" fontId="17" fillId="0" borderId="46" xfId="0" applyNumberFormat="1" applyFont="1" applyBorder="1" applyAlignment="1">
      <alignment horizontal="center"/>
    </xf>
    <xf numFmtId="169" fontId="17" fillId="0" borderId="47" xfId="2" applyNumberFormat="1" applyFont="1" applyBorder="1"/>
    <xf numFmtId="0" fontId="29" fillId="9" borderId="20" xfId="0" applyFont="1" applyFill="1" applyBorder="1"/>
    <xf numFmtId="44" fontId="28" fillId="0" borderId="47" xfId="0" applyNumberFormat="1" applyFont="1" applyBorder="1"/>
    <xf numFmtId="0" fontId="17" fillId="0" borderId="21" xfId="0" applyFont="1" applyBorder="1"/>
    <xf numFmtId="44" fontId="18" fillId="9" borderId="4" xfId="10" applyFont="1" applyFill="1" applyBorder="1"/>
    <xf numFmtId="44" fontId="21" fillId="9" borderId="43" xfId="10" applyFont="1" applyFill="1" applyBorder="1"/>
    <xf numFmtId="170" fontId="18" fillId="0" borderId="21" xfId="0" applyNumberFormat="1" applyFont="1" applyBorder="1"/>
    <xf numFmtId="9" fontId="18" fillId="0" borderId="22" xfId="0" applyNumberFormat="1" applyFont="1" applyBorder="1" applyAlignment="1">
      <alignment horizontal="center"/>
    </xf>
    <xf numFmtId="10" fontId="26" fillId="0" borderId="22" xfId="0" applyNumberFormat="1" applyFont="1" applyBorder="1" applyAlignment="1">
      <alignment horizontal="center"/>
    </xf>
    <xf numFmtId="44" fontId="18" fillId="8" borderId="23" xfId="0" applyNumberFormat="1" applyFont="1" applyFill="1" applyBorder="1"/>
    <xf numFmtId="0" fontId="20" fillId="0" borderId="0" xfId="0" applyFont="1" applyAlignment="1">
      <alignment horizontal="left" vertical="top" wrapText="1" readingOrder="1"/>
    </xf>
    <xf numFmtId="5" fontId="22" fillId="0" borderId="0" xfId="0" applyNumberFormat="1" applyFont="1" applyAlignment="1">
      <alignment horizontal="center" vertical="top"/>
    </xf>
    <xf numFmtId="42" fontId="22" fillId="0" borderId="0" xfId="0" applyNumberFormat="1" applyFont="1" applyAlignment="1">
      <alignment vertical="top"/>
    </xf>
    <xf numFmtId="0" fontId="21" fillId="0" borderId="0" xfId="0" applyFont="1" applyAlignment="1">
      <alignment vertical="top" wrapText="1"/>
    </xf>
    <xf numFmtId="0" fontId="21" fillId="12" borderId="0" xfId="0" applyFont="1" applyFill="1"/>
    <xf numFmtId="0" fontId="28" fillId="0" borderId="0" xfId="0" applyFont="1"/>
    <xf numFmtId="169" fontId="28" fillId="12" borderId="15" xfId="2" applyNumberFormat="1" applyFont="1" applyFill="1" applyBorder="1" applyAlignment="1">
      <alignment horizontal="center"/>
    </xf>
    <xf numFmtId="169" fontId="28" fillId="12" borderId="0" xfId="2" applyNumberFormat="1" applyFont="1" applyFill="1" applyAlignment="1">
      <alignment horizontal="center"/>
    </xf>
    <xf numFmtId="0" fontId="29" fillId="9" borderId="24" xfId="0" applyFont="1" applyFill="1" applyBorder="1" applyAlignment="1">
      <alignment horizontal="center" vertical="center"/>
    </xf>
    <xf numFmtId="169" fontId="28" fillId="0" borderId="0" xfId="2" applyNumberFormat="1" applyFont="1" applyAlignment="1">
      <alignment horizontal="center"/>
    </xf>
    <xf numFmtId="0" fontId="29" fillId="0" borderId="24" xfId="0" applyFont="1" applyBorder="1" applyAlignment="1">
      <alignment horizontal="center" vertical="center"/>
    </xf>
    <xf numFmtId="0" fontId="28" fillId="9" borderId="7" xfId="0" applyFont="1" applyFill="1" applyBorder="1" applyAlignment="1">
      <alignment horizontal="center"/>
    </xf>
    <xf numFmtId="0" fontId="28" fillId="0" borderId="7" xfId="0" applyFont="1" applyBorder="1" applyAlignment="1">
      <alignment horizontal="center"/>
    </xf>
    <xf numFmtId="0" fontId="21" fillId="9" borderId="20" xfId="0" applyFont="1" applyFill="1" applyBorder="1" applyAlignment="1">
      <alignment vertical="top"/>
    </xf>
    <xf numFmtId="4" fontId="23" fillId="9" borderId="0" xfId="0" applyNumberFormat="1" applyFont="1" applyFill="1" applyAlignment="1">
      <alignment vertical="top"/>
    </xf>
    <xf numFmtId="4" fontId="18" fillId="0" borderId="0" xfId="0" applyNumberFormat="1" applyFont="1" applyAlignment="1">
      <alignment vertical="top"/>
    </xf>
    <xf numFmtId="169" fontId="28" fillId="0" borderId="0" xfId="2" applyNumberFormat="1" applyFont="1" applyAlignment="1">
      <alignment horizontal="center" vertical="top"/>
    </xf>
    <xf numFmtId="4" fontId="23" fillId="12" borderId="28" xfId="0" applyNumberFormat="1" applyFont="1" applyFill="1" applyBorder="1" applyAlignment="1">
      <alignment horizontal="center" vertical="top"/>
    </xf>
    <xf numFmtId="0" fontId="17" fillId="12" borderId="48" xfId="0" applyFont="1" applyFill="1" applyBorder="1"/>
    <xf numFmtId="42" fontId="28" fillId="0" borderId="0" xfId="0" applyNumberFormat="1" applyFont="1" applyAlignment="1">
      <alignment horizontal="center"/>
    </xf>
    <xf numFmtId="0" fontId="29" fillId="9" borderId="33" xfId="0" applyFont="1" applyFill="1" applyBorder="1" applyAlignment="1">
      <alignment vertical="top"/>
    </xf>
    <xf numFmtId="42" fontId="28" fillId="9" borderId="35" xfId="0" applyNumberFormat="1" applyFont="1" applyFill="1" applyBorder="1" applyAlignment="1">
      <alignment horizontal="center"/>
    </xf>
    <xf numFmtId="169" fontId="28" fillId="0" borderId="0" xfId="2" applyNumberFormat="1" applyFont="1"/>
    <xf numFmtId="169" fontId="28" fillId="0" borderId="0" xfId="0" applyNumberFormat="1" applyFont="1"/>
    <xf numFmtId="10" fontId="17" fillId="8" borderId="0" xfId="0" applyNumberFormat="1" applyFont="1" applyFill="1" applyAlignment="1">
      <alignment horizontal="center"/>
    </xf>
    <xf numFmtId="4" fontId="23" fillId="0" borderId="28" xfId="0" applyNumberFormat="1" applyFont="1" applyBorder="1" applyAlignment="1">
      <alignment horizontal="center" vertical="top"/>
    </xf>
    <xf numFmtId="4" fontId="23" fillId="0" borderId="32" xfId="0" applyNumberFormat="1" applyFont="1" applyBorder="1" applyAlignment="1">
      <alignment horizontal="center" vertical="top"/>
    </xf>
    <xf numFmtId="0" fontId="17" fillId="12" borderId="49" xfId="0" applyFont="1" applyFill="1" applyBorder="1"/>
    <xf numFmtId="171" fontId="17" fillId="9" borderId="0" xfId="0" applyNumberFormat="1" applyFont="1" applyFill="1" applyAlignment="1">
      <alignment horizontal="center"/>
    </xf>
    <xf numFmtId="5" fontId="17" fillId="0" borderId="0" xfId="0" applyNumberFormat="1" applyFont="1" applyAlignment="1">
      <alignment horizontal="center"/>
    </xf>
    <xf numFmtId="169" fontId="17" fillId="9" borderId="0" xfId="0" applyNumberFormat="1" applyFont="1" applyFill="1" applyAlignment="1">
      <alignment horizontal="center"/>
    </xf>
    <xf numFmtId="0" fontId="28" fillId="9" borderId="41" xfId="0" applyFont="1" applyFill="1" applyBorder="1"/>
    <xf numFmtId="0" fontId="17" fillId="9" borderId="46" xfId="0" applyFont="1" applyFill="1" applyBorder="1"/>
    <xf numFmtId="0" fontId="17" fillId="9" borderId="46" xfId="0" applyFont="1" applyFill="1" applyBorder="1" applyAlignment="1">
      <alignment horizontal="center"/>
    </xf>
    <xf numFmtId="169" fontId="17" fillId="9" borderId="47" xfId="0" applyNumberFormat="1" applyFont="1" applyFill="1" applyBorder="1"/>
    <xf numFmtId="0" fontId="18" fillId="0" borderId="20" xfId="0" applyFont="1" applyBorder="1" applyAlignment="1">
      <alignment horizontal="left" vertical="top"/>
    </xf>
    <xf numFmtId="5" fontId="18" fillId="0" borderId="28" xfId="2" applyNumberFormat="1" applyFont="1" applyBorder="1" applyAlignment="1">
      <alignment horizontal="center" vertical="top"/>
    </xf>
    <xf numFmtId="0" fontId="17" fillId="0" borderId="15" xfId="0" applyFont="1" applyBorder="1" applyAlignment="1">
      <alignment horizontal="center"/>
    </xf>
    <xf numFmtId="0" fontId="17" fillId="12" borderId="36" xfId="0" applyFont="1" applyFill="1" applyBorder="1"/>
    <xf numFmtId="10" fontId="17" fillId="0" borderId="36" xfId="0" applyNumberFormat="1" applyFont="1" applyBorder="1" applyAlignment="1">
      <alignment horizontal="center"/>
    </xf>
    <xf numFmtId="0" fontId="17" fillId="9" borderId="15" xfId="0" applyFont="1" applyFill="1" applyBorder="1" applyAlignment="1">
      <alignment horizontal="center"/>
    </xf>
    <xf numFmtId="0" fontId="17" fillId="12" borderId="9" xfId="0" applyFont="1" applyFill="1" applyBorder="1"/>
    <xf numFmtId="10" fontId="26" fillId="0" borderId="0" xfId="0" applyNumberFormat="1" applyFont="1" applyAlignment="1">
      <alignment horizontal="center"/>
    </xf>
    <xf numFmtId="169" fontId="18" fillId="0" borderId="3" xfId="0" applyNumberFormat="1" applyFont="1" applyBorder="1"/>
    <xf numFmtId="10" fontId="17" fillId="12" borderId="22" xfId="3" applyNumberFormat="1" applyFont="1" applyFill="1" applyBorder="1" applyAlignment="1">
      <alignment horizontal="center"/>
    </xf>
    <xf numFmtId="10" fontId="17" fillId="12" borderId="23" xfId="0" applyNumberFormat="1" applyFont="1" applyFill="1" applyBorder="1"/>
    <xf numFmtId="3" fontId="29" fillId="0" borderId="0" xfId="0" applyNumberFormat="1" applyFont="1"/>
    <xf numFmtId="0" fontId="29" fillId="0" borderId="21" xfId="0" applyFont="1" applyBorder="1"/>
    <xf numFmtId="0" fontId="17" fillId="0" borderId="22" xfId="0" applyFont="1" applyBorder="1"/>
    <xf numFmtId="0" fontId="17" fillId="0" borderId="22" xfId="0" applyFont="1" applyBorder="1" applyAlignment="1">
      <alignment horizontal="center"/>
    </xf>
    <xf numFmtId="44" fontId="17" fillId="0" borderId="23" xfId="0" applyNumberFormat="1" applyFont="1" applyBorder="1"/>
    <xf numFmtId="44" fontId="29" fillId="8" borderId="23" xfId="10" applyFont="1" applyFill="1" applyBorder="1"/>
    <xf numFmtId="8" fontId="17" fillId="0" borderId="0" xfId="0" applyNumberFormat="1" applyFont="1"/>
    <xf numFmtId="44" fontId="17" fillId="0" borderId="0" xfId="0" applyNumberFormat="1" applyFont="1"/>
    <xf numFmtId="173" fontId="21" fillId="12" borderId="0" xfId="0" applyNumberFormat="1" applyFont="1" applyFill="1" applyAlignment="1">
      <alignment horizontal="center"/>
    </xf>
    <xf numFmtId="0" fontId="17" fillId="12" borderId="0" xfId="11" applyFont="1" applyFill="1"/>
    <xf numFmtId="0" fontId="29" fillId="9" borderId="17" xfId="11" applyFont="1" applyFill="1" applyBorder="1" applyAlignment="1">
      <alignment horizontal="center"/>
    </xf>
    <xf numFmtId="0" fontId="21" fillId="9" borderId="1" xfId="11" applyFont="1" applyFill="1" applyBorder="1" applyAlignment="1">
      <alignment horizontal="center"/>
    </xf>
    <xf numFmtId="0" fontId="29" fillId="9" borderId="1" xfId="11" applyFont="1" applyFill="1" applyBorder="1" applyAlignment="1">
      <alignment horizontal="right"/>
    </xf>
    <xf numFmtId="3" fontId="29" fillId="9" borderId="2" xfId="11" applyNumberFormat="1" applyFont="1" applyFill="1" applyBorder="1" applyAlignment="1">
      <alignment horizontal="center"/>
    </xf>
    <xf numFmtId="0" fontId="29" fillId="12" borderId="17" xfId="11" applyFont="1" applyFill="1" applyBorder="1" applyAlignment="1">
      <alignment horizontal="center"/>
    </xf>
    <xf numFmtId="0" fontId="21" fillId="12" borderId="1" xfId="11" applyFont="1" applyFill="1" applyBorder="1" applyAlignment="1">
      <alignment horizontal="center"/>
    </xf>
    <xf numFmtId="0" fontId="29" fillId="12" borderId="1" xfId="11" applyFont="1" applyFill="1" applyBorder="1" applyAlignment="1">
      <alignment horizontal="right"/>
    </xf>
    <xf numFmtId="3" fontId="29" fillId="12" borderId="2" xfId="11" applyNumberFormat="1" applyFont="1" applyFill="1" applyBorder="1" applyAlignment="1">
      <alignment horizontal="center"/>
    </xf>
    <xf numFmtId="0" fontId="19" fillId="9" borderId="20" xfId="11" applyFont="1" applyFill="1" applyBorder="1"/>
    <xf numFmtId="0" fontId="19" fillId="9" borderId="0" xfId="11" applyFont="1" applyFill="1"/>
    <xf numFmtId="0" fontId="19" fillId="9" borderId="3" xfId="11" applyFont="1" applyFill="1" applyBorder="1"/>
    <xf numFmtId="0" fontId="19" fillId="12" borderId="20" xfId="11" applyFont="1" applyFill="1" applyBorder="1"/>
    <xf numFmtId="0" fontId="19" fillId="12" borderId="0" xfId="11" applyFont="1" applyFill="1"/>
    <xf numFmtId="0" fontId="19" fillId="12" borderId="3" xfId="11" applyFont="1" applyFill="1" applyBorder="1"/>
    <xf numFmtId="0" fontId="18" fillId="12" borderId="20" xfId="11" applyFont="1" applyFill="1" applyBorder="1"/>
    <xf numFmtId="42" fontId="18" fillId="12" borderId="28" xfId="11" applyNumberFormat="1" applyFont="1" applyFill="1" applyBorder="1"/>
    <xf numFmtId="0" fontId="29" fillId="9" borderId="24" xfId="11" applyFont="1" applyFill="1" applyBorder="1"/>
    <xf numFmtId="0" fontId="29" fillId="9" borderId="18" xfId="11" applyFont="1" applyFill="1" applyBorder="1" applyAlignment="1">
      <alignment horizontal="center"/>
    </xf>
    <xf numFmtId="0" fontId="29" fillId="9" borderId="27" xfId="11" applyFont="1" applyFill="1" applyBorder="1" applyAlignment="1">
      <alignment horizontal="center"/>
    </xf>
    <xf numFmtId="0" fontId="29" fillId="12" borderId="24" xfId="11" applyFont="1" applyFill="1" applyBorder="1"/>
    <xf numFmtId="0" fontId="29" fillId="12" borderId="18" xfId="11" applyFont="1" applyFill="1" applyBorder="1" applyAlignment="1">
      <alignment horizontal="center"/>
    </xf>
    <xf numFmtId="0" fontId="29" fillId="12" borderId="27" xfId="11" applyFont="1" applyFill="1" applyBorder="1" applyAlignment="1">
      <alignment horizontal="center"/>
    </xf>
    <xf numFmtId="0" fontId="29" fillId="9" borderId="0" xfId="11" applyFont="1" applyFill="1" applyAlignment="1">
      <alignment horizontal="center"/>
    </xf>
    <xf numFmtId="0" fontId="29" fillId="9" borderId="3" xfId="11" applyFont="1" applyFill="1" applyBorder="1" applyAlignment="1">
      <alignment horizontal="center"/>
    </xf>
    <xf numFmtId="0" fontId="29" fillId="12" borderId="20" xfId="0" applyFont="1" applyFill="1" applyBorder="1"/>
    <xf numFmtId="0" fontId="29" fillId="12" borderId="0" xfId="11" applyFont="1" applyFill="1" applyAlignment="1">
      <alignment horizontal="center"/>
    </xf>
    <xf numFmtId="0" fontId="29" fillId="12" borderId="3" xfId="11" applyFont="1" applyFill="1" applyBorder="1" applyAlignment="1">
      <alignment horizontal="center"/>
    </xf>
    <xf numFmtId="44" fontId="17" fillId="0" borderId="0" xfId="2" applyFont="1"/>
    <xf numFmtId="0" fontId="18" fillId="9" borderId="20" xfId="11" applyFont="1" applyFill="1" applyBorder="1"/>
    <xf numFmtId="42" fontId="22" fillId="9" borderId="0" xfId="11" applyNumberFormat="1" applyFont="1" applyFill="1"/>
    <xf numFmtId="4" fontId="33" fillId="9" borderId="0" xfId="11" applyNumberFormat="1" applyFont="1" applyFill="1" applyAlignment="1">
      <alignment horizontal="center"/>
    </xf>
    <xf numFmtId="42" fontId="19" fillId="9" borderId="3" xfId="11" applyNumberFormat="1" applyFont="1" applyFill="1" applyBorder="1"/>
    <xf numFmtId="42" fontId="18" fillId="12" borderId="0" xfId="11" applyNumberFormat="1" applyFont="1" applyFill="1"/>
    <xf numFmtId="4" fontId="18" fillId="12" borderId="0" xfId="11" applyNumberFormat="1" applyFont="1" applyFill="1" applyAlignment="1">
      <alignment horizontal="center"/>
    </xf>
    <xf numFmtId="42" fontId="19" fillId="12" borderId="3" xfId="11" applyNumberFormat="1" applyFont="1" applyFill="1" applyBorder="1"/>
    <xf numFmtId="0" fontId="18" fillId="12" borderId="31" xfId="11" applyFont="1" applyFill="1" applyBorder="1"/>
    <xf numFmtId="0" fontId="18" fillId="0" borderId="20" xfId="11" applyFont="1" applyBorder="1"/>
    <xf numFmtId="42" fontId="18" fillId="0" borderId="0" xfId="11" applyNumberFormat="1" applyFont="1"/>
    <xf numFmtId="4" fontId="18" fillId="0" borderId="0" xfId="11" applyNumberFormat="1" applyFont="1" applyAlignment="1">
      <alignment horizontal="center"/>
    </xf>
    <xf numFmtId="42" fontId="19" fillId="0" borderId="3" xfId="11" applyNumberFormat="1" applyFont="1" applyBorder="1"/>
    <xf numFmtId="4" fontId="18" fillId="0" borderId="28" xfId="11" applyNumberFormat="1" applyFont="1" applyBorder="1" applyAlignment="1">
      <alignment horizontal="center"/>
    </xf>
    <xf numFmtId="0" fontId="18" fillId="9" borderId="31" xfId="11" applyFont="1" applyFill="1" applyBorder="1"/>
    <xf numFmtId="42" fontId="22" fillId="9" borderId="15" xfId="11" applyNumberFormat="1" applyFont="1" applyFill="1" applyBorder="1"/>
    <xf numFmtId="4" fontId="33" fillId="9" borderId="15" xfId="11" applyNumberFormat="1" applyFont="1" applyFill="1" applyBorder="1" applyAlignment="1">
      <alignment horizontal="center"/>
    </xf>
    <xf numFmtId="42" fontId="19" fillId="9" borderId="26" xfId="11" applyNumberFormat="1" applyFont="1" applyFill="1" applyBorder="1"/>
    <xf numFmtId="0" fontId="18" fillId="0" borderId="31" xfId="11" applyFont="1" applyBorder="1"/>
    <xf numFmtId="42" fontId="18" fillId="0" borderId="15" xfId="11" applyNumberFormat="1" applyFont="1" applyBorder="1"/>
    <xf numFmtId="4" fontId="18" fillId="0" borderId="15" xfId="11" applyNumberFormat="1" applyFont="1" applyBorder="1" applyAlignment="1">
      <alignment horizontal="center"/>
    </xf>
    <xf numFmtId="42" fontId="19" fillId="0" borderId="26" xfId="11" applyNumberFormat="1" applyFont="1" applyBorder="1"/>
    <xf numFmtId="0" fontId="29" fillId="9" borderId="31" xfId="11" applyFont="1" applyFill="1" applyBorder="1"/>
    <xf numFmtId="169" fontId="29" fillId="9" borderId="15" xfId="11" applyNumberFormat="1" applyFont="1" applyFill="1" applyBorder="1"/>
    <xf numFmtId="4" fontId="29" fillId="9" borderId="15" xfId="11" applyNumberFormat="1" applyFont="1" applyFill="1" applyBorder="1" applyAlignment="1">
      <alignment horizontal="center"/>
    </xf>
    <xf numFmtId="42" fontId="29" fillId="9" borderId="26" xfId="11" applyNumberFormat="1" applyFont="1" applyFill="1" applyBorder="1"/>
    <xf numFmtId="42" fontId="22" fillId="0" borderId="15" xfId="11" applyNumberFormat="1" applyFont="1" applyBorder="1"/>
    <xf numFmtId="4" fontId="33" fillId="0" borderId="15" xfId="11" applyNumberFormat="1" applyFont="1" applyBorder="1" applyAlignment="1">
      <alignment horizontal="center"/>
    </xf>
    <xf numFmtId="0" fontId="18" fillId="12" borderId="0" xfId="0" applyFont="1" applyFill="1" applyAlignment="1">
      <alignment horizontal="left" wrapText="1"/>
    </xf>
    <xf numFmtId="0" fontId="19" fillId="9" borderId="0" xfId="11" applyFont="1" applyFill="1" applyAlignment="1">
      <alignment horizontal="center"/>
    </xf>
    <xf numFmtId="0" fontId="34" fillId="9" borderId="3" xfId="11" applyFont="1" applyFill="1" applyBorder="1"/>
    <xf numFmtId="0" fontId="28" fillId="12" borderId="36" xfId="0" applyFont="1" applyFill="1" applyBorder="1"/>
    <xf numFmtId="169" fontId="29" fillId="0" borderId="15" xfId="11" applyNumberFormat="1" applyFont="1" applyBorder="1"/>
    <xf numFmtId="4" fontId="29" fillId="0" borderId="15" xfId="11" applyNumberFormat="1" applyFont="1" applyBorder="1" applyAlignment="1">
      <alignment horizontal="center"/>
    </xf>
    <xf numFmtId="42" fontId="29" fillId="0" borderId="26" xfId="11" applyNumberFormat="1" applyFont="1" applyBorder="1"/>
    <xf numFmtId="0" fontId="18" fillId="12" borderId="0" xfId="0" applyFont="1" applyFill="1" applyAlignment="1">
      <alignment horizontal="left"/>
    </xf>
    <xf numFmtId="10" fontId="17" fillId="13" borderId="0" xfId="0" applyNumberFormat="1" applyFont="1" applyFill="1"/>
    <xf numFmtId="42" fontId="19" fillId="9" borderId="3" xfId="11" applyNumberFormat="1" applyFont="1" applyFill="1" applyBorder="1" applyAlignment="1">
      <alignment horizontal="right"/>
    </xf>
    <xf numFmtId="0" fontId="19" fillId="0" borderId="20" xfId="11" applyFont="1" applyBorder="1"/>
    <xf numFmtId="0" fontId="19" fillId="0" borderId="0" xfId="11" applyFont="1"/>
    <xf numFmtId="0" fontId="19" fillId="0" borderId="0" xfId="11" applyFont="1" applyAlignment="1">
      <alignment horizontal="center"/>
    </xf>
    <xf numFmtId="0" fontId="34" fillId="0" borderId="3" xfId="11" applyFont="1" applyBorder="1"/>
    <xf numFmtId="44" fontId="29" fillId="9" borderId="0" xfId="11" applyNumberFormat="1" applyFont="1" applyFill="1" applyAlignment="1">
      <alignment horizontal="center"/>
    </xf>
    <xf numFmtId="0" fontId="17" fillId="9" borderId="3" xfId="11" applyFont="1" applyFill="1" applyBorder="1"/>
    <xf numFmtId="10" fontId="28" fillId="0" borderId="0" xfId="0" applyNumberFormat="1" applyFont="1"/>
    <xf numFmtId="10" fontId="19" fillId="0" borderId="0" xfId="11" applyNumberFormat="1" applyFont="1" applyAlignment="1">
      <alignment horizontal="center"/>
    </xf>
    <xf numFmtId="42" fontId="19" fillId="0" borderId="3" xfId="11" applyNumberFormat="1" applyFont="1" applyBorder="1" applyAlignment="1">
      <alignment horizontal="right"/>
    </xf>
    <xf numFmtId="0" fontId="29" fillId="9" borderId="33" xfId="11" applyFont="1" applyFill="1" applyBorder="1"/>
    <xf numFmtId="0" fontId="29" fillId="9" borderId="36" xfId="11" applyFont="1" applyFill="1" applyBorder="1"/>
    <xf numFmtId="44" fontId="29" fillId="9" borderId="36" xfId="11" applyNumberFormat="1" applyFont="1" applyFill="1" applyBorder="1" applyAlignment="1">
      <alignment horizontal="center"/>
    </xf>
    <xf numFmtId="42" fontId="29" fillId="9" borderId="35" xfId="11" applyNumberFormat="1" applyFont="1" applyFill="1" applyBorder="1" applyAlignment="1">
      <alignment horizontal="right"/>
    </xf>
    <xf numFmtId="0" fontId="18" fillId="0" borderId="20" xfId="0" applyFont="1" applyBorder="1" applyAlignment="1">
      <alignment vertical="center"/>
    </xf>
    <xf numFmtId="42" fontId="18" fillId="0" borderId="28" xfId="11" applyNumberFormat="1" applyFont="1" applyBorder="1" applyAlignment="1">
      <alignment horizontal="center" vertical="center"/>
    </xf>
    <xf numFmtId="0" fontId="29" fillId="9" borderId="20" xfId="11" applyFont="1" applyFill="1" applyBorder="1"/>
    <xf numFmtId="0" fontId="29" fillId="9" borderId="0" xfId="11" applyFont="1" applyFill="1"/>
    <xf numFmtId="44" fontId="29" fillId="9" borderId="0" xfId="11" applyNumberFormat="1" applyFont="1" applyFill="1" applyAlignment="1">
      <alignment horizontal="right"/>
    </xf>
    <xf numFmtId="42" fontId="29" fillId="9" borderId="3" xfId="11" applyNumberFormat="1" applyFont="1" applyFill="1" applyBorder="1"/>
    <xf numFmtId="0" fontId="29" fillId="0" borderId="36" xfId="11" applyFont="1" applyBorder="1"/>
    <xf numFmtId="44" fontId="29" fillId="0" borderId="36" xfId="11" applyNumberFormat="1" applyFont="1" applyBorder="1" applyAlignment="1">
      <alignment horizontal="center"/>
    </xf>
    <xf numFmtId="42" fontId="29" fillId="0" borderId="35" xfId="11" applyNumberFormat="1" applyFont="1" applyBorder="1" applyAlignment="1">
      <alignment horizontal="right"/>
    </xf>
    <xf numFmtId="44" fontId="17" fillId="0" borderId="28" xfId="2" applyFont="1" applyBorder="1" applyAlignment="1">
      <alignment horizontal="center"/>
    </xf>
    <xf numFmtId="42" fontId="17" fillId="9" borderId="0" xfId="11" applyNumberFormat="1" applyFont="1" applyFill="1"/>
    <xf numFmtId="169" fontId="19" fillId="9" borderId="3" xfId="2" applyNumberFormat="1" applyFont="1" applyFill="1" applyBorder="1"/>
    <xf numFmtId="0" fontId="29" fillId="0" borderId="20" xfId="11" applyFont="1" applyBorder="1"/>
    <xf numFmtId="0" fontId="29" fillId="0" borderId="0" xfId="11" applyFont="1"/>
    <xf numFmtId="44" fontId="29" fillId="0" borderId="0" xfId="11" applyNumberFormat="1" applyFont="1" applyAlignment="1">
      <alignment horizontal="right"/>
    </xf>
    <xf numFmtId="42" fontId="29" fillId="0" borderId="3" xfId="11" applyNumberFormat="1" applyFont="1" applyBorder="1"/>
    <xf numFmtId="8" fontId="17" fillId="0" borderId="28" xfId="2" applyNumberFormat="1" applyFont="1" applyBorder="1" applyAlignment="1">
      <alignment horizontal="center"/>
    </xf>
    <xf numFmtId="44" fontId="19" fillId="9" borderId="0" xfId="11" applyNumberFormat="1" applyFont="1" applyFill="1" applyAlignment="1">
      <alignment horizontal="center"/>
    </xf>
    <xf numFmtId="0" fontId="19" fillId="0" borderId="20" xfId="0" applyFont="1" applyBorder="1"/>
    <xf numFmtId="42" fontId="17" fillId="0" borderId="0" xfId="11" applyNumberFormat="1" applyFont="1"/>
    <xf numFmtId="169" fontId="19" fillId="0" borderId="3" xfId="2" applyNumberFormat="1" applyFont="1" applyBorder="1"/>
    <xf numFmtId="10" fontId="17" fillId="12" borderId="28" xfId="3" applyNumberFormat="1" applyFont="1" applyFill="1" applyBorder="1" applyAlignment="1">
      <alignment horizontal="center"/>
    </xf>
    <xf numFmtId="169" fontId="19" fillId="9" borderId="3" xfId="2" applyNumberFormat="1" applyFont="1" applyFill="1" applyBorder="1" applyAlignment="1">
      <alignment horizontal="right"/>
    </xf>
    <xf numFmtId="0" fontId="19" fillId="12" borderId="20" xfId="0" applyFont="1" applyFill="1" applyBorder="1"/>
    <xf numFmtId="174" fontId="17" fillId="0" borderId="0" xfId="11" applyNumberFormat="1" applyFont="1"/>
    <xf numFmtId="169" fontId="19" fillId="12" borderId="3" xfId="2" applyNumberFormat="1" applyFont="1" applyFill="1" applyBorder="1"/>
    <xf numFmtId="10" fontId="17" fillId="12" borderId="28" xfId="0" applyNumberFormat="1" applyFont="1" applyFill="1" applyBorder="1" applyAlignment="1">
      <alignment horizontal="center"/>
    </xf>
    <xf numFmtId="0" fontId="29" fillId="9" borderId="36" xfId="11" applyFont="1" applyFill="1" applyBorder="1" applyAlignment="1">
      <alignment horizontal="center"/>
    </xf>
    <xf numFmtId="169" fontId="29" fillId="9" borderId="35" xfId="10" applyNumberFormat="1" applyFont="1" applyFill="1" applyBorder="1"/>
    <xf numFmtId="174" fontId="17" fillId="12" borderId="0" xfId="11" applyNumberFormat="1" applyFont="1" applyFill="1"/>
    <xf numFmtId="169" fontId="19" fillId="12" borderId="3" xfId="2" applyNumberFormat="1" applyFont="1" applyFill="1" applyBorder="1" applyAlignment="1">
      <alignment horizontal="right"/>
    </xf>
    <xf numFmtId="44" fontId="19" fillId="9" borderId="0" xfId="10" applyFont="1" applyFill="1" applyAlignment="1">
      <alignment horizontal="center"/>
    </xf>
    <xf numFmtId="0" fontId="19" fillId="12" borderId="31" xfId="0" applyFont="1" applyFill="1" applyBorder="1"/>
    <xf numFmtId="174" fontId="17" fillId="12" borderId="15" xfId="11" applyNumberFormat="1" applyFont="1" applyFill="1" applyBorder="1"/>
    <xf numFmtId="10" fontId="22" fillId="9" borderId="0" xfId="12" applyNumberFormat="1" applyFont="1" applyFill="1" applyAlignment="1">
      <alignment horizontal="right"/>
    </xf>
    <xf numFmtId="0" fontId="29" fillId="12" borderId="33" xfId="11" applyFont="1" applyFill="1" applyBorder="1"/>
    <xf numFmtId="0" fontId="29" fillId="12" borderId="36" xfId="11" applyFont="1" applyFill="1" applyBorder="1"/>
    <xf numFmtId="0" fontId="29" fillId="12" borderId="36" xfId="11" applyFont="1" applyFill="1" applyBorder="1" applyAlignment="1">
      <alignment horizontal="center"/>
    </xf>
    <xf numFmtId="169" fontId="19" fillId="12" borderId="35" xfId="10" applyNumberFormat="1" applyFont="1" applyFill="1" applyBorder="1"/>
    <xf numFmtId="10" fontId="17" fillId="0" borderId="21" xfId="3" applyNumberFormat="1" applyFont="1" applyBorder="1" applyAlignment="1">
      <alignment horizontal="center"/>
    </xf>
    <xf numFmtId="0" fontId="29" fillId="9" borderId="50" xfId="11" applyFont="1" applyFill="1" applyBorder="1"/>
    <xf numFmtId="0" fontId="19" fillId="9" borderId="51" xfId="11" applyFont="1" applyFill="1" applyBorder="1"/>
    <xf numFmtId="0" fontId="19" fillId="9" borderId="51" xfId="11" applyFont="1" applyFill="1" applyBorder="1" applyAlignment="1">
      <alignment horizontal="center"/>
    </xf>
    <xf numFmtId="42" fontId="29" fillId="9" borderId="52" xfId="11" applyNumberFormat="1" applyFont="1" applyFill="1" applyBorder="1" applyAlignment="1">
      <alignment horizontal="right"/>
    </xf>
    <xf numFmtId="0" fontId="19" fillId="12" borderId="37" xfId="11" applyFont="1" applyFill="1" applyBorder="1"/>
    <xf numFmtId="0" fontId="19" fillId="12" borderId="38" xfId="11" applyFont="1" applyFill="1" applyBorder="1"/>
    <xf numFmtId="10" fontId="19" fillId="12" borderId="38" xfId="10" applyNumberFormat="1" applyFont="1" applyFill="1" applyBorder="1" applyAlignment="1">
      <alignment horizontal="center"/>
    </xf>
    <xf numFmtId="169" fontId="19" fillId="12" borderId="39" xfId="10" applyNumberFormat="1" applyFont="1" applyFill="1" applyBorder="1"/>
    <xf numFmtId="0" fontId="19" fillId="9" borderId="33" xfId="11" applyFont="1" applyFill="1" applyBorder="1"/>
    <xf numFmtId="10" fontId="33" fillId="9" borderId="36" xfId="11" applyNumberFormat="1" applyFont="1" applyFill="1" applyBorder="1" applyAlignment="1">
      <alignment horizontal="right"/>
    </xf>
    <xf numFmtId="0" fontId="19" fillId="9" borderId="36" xfId="11" applyFont="1" applyFill="1" applyBorder="1" applyAlignment="1">
      <alignment horizontal="center"/>
    </xf>
    <xf numFmtId="169" fontId="19" fillId="9" borderId="35" xfId="10" applyNumberFormat="1" applyFont="1" applyFill="1" applyBorder="1" applyAlignment="1">
      <alignment horizontal="right"/>
    </xf>
    <xf numFmtId="0" fontId="29" fillId="12" borderId="45" xfId="11" applyFont="1" applyFill="1" applyBorder="1"/>
    <xf numFmtId="0" fontId="19" fillId="12" borderId="53" xfId="11" applyFont="1" applyFill="1" applyBorder="1"/>
    <xf numFmtId="0" fontId="19" fillId="12" borderId="53" xfId="11" applyFont="1" applyFill="1" applyBorder="1" applyAlignment="1">
      <alignment horizontal="center"/>
    </xf>
    <xf numFmtId="42" fontId="19" fillId="12" borderId="54" xfId="11" applyNumberFormat="1" applyFont="1" applyFill="1" applyBorder="1" applyAlignment="1">
      <alignment horizontal="right"/>
    </xf>
    <xf numFmtId="0" fontId="19" fillId="12" borderId="33" xfId="11" applyFont="1" applyFill="1" applyBorder="1"/>
    <xf numFmtId="0" fontId="19" fillId="12" borderId="36" xfId="11" applyFont="1" applyFill="1" applyBorder="1"/>
    <xf numFmtId="10" fontId="19" fillId="12" borderId="36" xfId="11" applyNumberFormat="1" applyFont="1" applyFill="1" applyBorder="1" applyAlignment="1">
      <alignment horizontal="center"/>
    </xf>
    <xf numFmtId="42" fontId="19" fillId="12" borderId="35" xfId="11" applyNumberFormat="1" applyFont="1" applyFill="1" applyBorder="1" applyAlignment="1">
      <alignment horizontal="right"/>
    </xf>
    <xf numFmtId="170" fontId="18" fillId="9" borderId="19" xfId="11" applyNumberFormat="1" applyFont="1" applyFill="1" applyBorder="1"/>
    <xf numFmtId="9" fontId="19" fillId="9" borderId="4" xfId="11" applyNumberFormat="1" applyFont="1" applyFill="1" applyBorder="1"/>
    <xf numFmtId="44" fontId="19" fillId="9" borderId="4" xfId="10" applyFont="1" applyFill="1" applyBorder="1" applyAlignment="1">
      <alignment horizontal="center"/>
    </xf>
    <xf numFmtId="44" fontId="29" fillId="9" borderId="43" xfId="10" applyFont="1" applyFill="1" applyBorder="1" applyAlignment="1">
      <alignment horizontal="right"/>
    </xf>
    <xf numFmtId="10" fontId="19" fillId="12" borderId="0" xfId="11" applyNumberFormat="1" applyFont="1" applyFill="1" applyAlignment="1">
      <alignment horizontal="center"/>
    </xf>
    <xf numFmtId="42" fontId="19" fillId="12" borderId="3" xfId="11" applyNumberFormat="1" applyFont="1" applyFill="1" applyBorder="1" applyAlignment="1">
      <alignment horizontal="right"/>
    </xf>
    <xf numFmtId="0" fontId="19" fillId="12" borderId="21" xfId="11" applyFont="1" applyFill="1" applyBorder="1"/>
    <xf numFmtId="0" fontId="19" fillId="12" borderId="22" xfId="11" applyFont="1" applyFill="1" applyBorder="1"/>
    <xf numFmtId="44" fontId="19" fillId="12" borderId="22" xfId="10" applyFont="1" applyFill="1" applyBorder="1" applyAlignment="1">
      <alignment horizontal="center"/>
    </xf>
    <xf numFmtId="44" fontId="19" fillId="12" borderId="23" xfId="10" applyFont="1" applyFill="1" applyBorder="1"/>
    <xf numFmtId="170" fontId="18" fillId="12" borderId="21" xfId="11" applyNumberFormat="1" applyFont="1" applyFill="1" applyBorder="1"/>
    <xf numFmtId="9" fontId="19" fillId="12" borderId="22" xfId="11" applyNumberFormat="1" applyFont="1" applyFill="1" applyBorder="1"/>
    <xf numFmtId="44" fontId="29" fillId="8" borderId="43" xfId="10" applyFont="1" applyFill="1" applyBorder="1" applyAlignment="1">
      <alignment horizontal="right"/>
    </xf>
    <xf numFmtId="0" fontId="17" fillId="0" borderId="0" xfId="11" applyFont="1"/>
    <xf numFmtId="0" fontId="2" fillId="0" borderId="0" xfId="0" applyFont="1"/>
    <xf numFmtId="0" fontId="2" fillId="0" borderId="0" xfId="0" applyFont="1" applyAlignment="1">
      <alignment horizontal="center"/>
    </xf>
    <xf numFmtId="44" fontId="0" fillId="0" borderId="0" xfId="2" applyFont="1"/>
    <xf numFmtId="0" fontId="37" fillId="14" borderId="0" xfId="0" applyFont="1" applyFill="1"/>
    <xf numFmtId="0" fontId="37" fillId="14" borderId="0" xfId="0" applyFont="1" applyFill="1" applyAlignment="1">
      <alignment horizontal="center"/>
    </xf>
    <xf numFmtId="0" fontId="2" fillId="0" borderId="4" xfId="0" applyFont="1" applyBorder="1"/>
    <xf numFmtId="0" fontId="2" fillId="14" borderId="55" xfId="0" applyFont="1" applyFill="1" applyBorder="1" applyAlignment="1">
      <alignment horizontal="center" vertical="center"/>
    </xf>
    <xf numFmtId="0" fontId="2" fillId="14" borderId="56" xfId="0" applyFont="1" applyFill="1" applyBorder="1" applyAlignment="1">
      <alignment horizontal="center" vertical="center" wrapText="1"/>
    </xf>
    <xf numFmtId="0" fontId="2" fillId="14" borderId="56" xfId="0" applyFont="1" applyFill="1" applyBorder="1" applyAlignment="1">
      <alignment horizontal="center" vertical="center"/>
    </xf>
    <xf numFmtId="167" fontId="2" fillId="14" borderId="57" xfId="0" applyNumberFormat="1" applyFont="1" applyFill="1" applyBorder="1" applyAlignment="1">
      <alignment horizontal="center" vertical="center" wrapText="1"/>
    </xf>
    <xf numFmtId="175" fontId="2" fillId="14" borderId="21" xfId="1" applyNumberFormat="1" applyFont="1" applyFill="1" applyBorder="1" applyAlignment="1">
      <alignment horizontal="center" vertical="center" wrapText="1"/>
    </xf>
    <xf numFmtId="175" fontId="2" fillId="15" borderId="58" xfId="1" applyNumberFormat="1" applyFont="1" applyFill="1" applyBorder="1" applyAlignment="1">
      <alignment horizontal="center" vertical="center" wrapText="1"/>
    </xf>
    <xf numFmtId="175" fontId="2" fillId="15" borderId="56" xfId="1" applyNumberFormat="1" applyFont="1" applyFill="1" applyBorder="1" applyAlignment="1">
      <alignment horizontal="center" vertical="center" wrapText="1"/>
    </xf>
    <xf numFmtId="175" fontId="2" fillId="15" borderId="22" xfId="1" applyNumberFormat="1" applyFont="1" applyFill="1" applyBorder="1" applyAlignment="1">
      <alignment horizontal="center" vertical="center" wrapText="1"/>
    </xf>
    <xf numFmtId="175" fontId="2" fillId="14" borderId="43" xfId="1" applyNumberFormat="1" applyFont="1" applyFill="1" applyBorder="1" applyAlignment="1">
      <alignment horizontal="center" vertical="center" wrapText="1"/>
    </xf>
    <xf numFmtId="0" fontId="3" fillId="0" borderId="20" xfId="0" applyFont="1" applyBorder="1" applyAlignment="1">
      <alignment horizontal="right" vertical="top"/>
    </xf>
    <xf numFmtId="0" fontId="3" fillId="0" borderId="0" xfId="0" applyFont="1"/>
    <xf numFmtId="167" fontId="0" fillId="0" borderId="0" xfId="0" applyNumberFormat="1"/>
    <xf numFmtId="175" fontId="2" fillId="14" borderId="20" xfId="1" applyNumberFormat="1" applyFont="1" applyFill="1" applyBorder="1"/>
    <xf numFmtId="175" fontId="2" fillId="14" borderId="9" xfId="1" applyNumberFormat="1" applyFont="1" applyFill="1" applyBorder="1"/>
    <xf numFmtId="175" fontId="2" fillId="14" borderId="0" xfId="1" applyNumberFormat="1" applyFont="1" applyFill="1" applyAlignment="1">
      <alignment horizontal="center"/>
    </xf>
    <xf numFmtId="175" fontId="39" fillId="14" borderId="59" xfId="1" applyNumberFormat="1" applyFont="1" applyFill="1" applyBorder="1"/>
    <xf numFmtId="175" fontId="0" fillId="0" borderId="0" xfId="0" applyNumberFormat="1"/>
    <xf numFmtId="0" fontId="3" fillId="0" borderId="31" xfId="0" applyFont="1" applyBorder="1" applyAlignment="1">
      <alignment horizontal="right" vertical="top"/>
    </xf>
    <xf numFmtId="0" fontId="0" fillId="0" borderId="15" xfId="0" applyBorder="1"/>
    <xf numFmtId="0" fontId="3" fillId="0" borderId="15" xfId="0" applyFont="1" applyBorder="1"/>
    <xf numFmtId="167" fontId="0" fillId="0" borderId="15" xfId="0" applyNumberFormat="1" applyBorder="1"/>
    <xf numFmtId="175" fontId="2" fillId="14" borderId="31" xfId="1" applyNumberFormat="1" applyFont="1" applyFill="1" applyBorder="1"/>
    <xf numFmtId="175" fontId="2" fillId="14" borderId="14" xfId="1" applyNumberFormat="1" applyFont="1" applyFill="1" applyBorder="1"/>
    <xf numFmtId="175" fontId="2" fillId="14" borderId="15" xfId="1" applyNumberFormat="1" applyFont="1" applyFill="1" applyBorder="1" applyAlignment="1">
      <alignment horizontal="center"/>
    </xf>
    <xf numFmtId="175" fontId="0" fillId="14" borderId="60" xfId="1" applyNumberFormat="1" applyFont="1" applyFill="1" applyBorder="1"/>
    <xf numFmtId="0" fontId="40" fillId="0" borderId="0" xfId="0" applyFont="1" applyAlignment="1">
      <alignment wrapText="1"/>
    </xf>
    <xf numFmtId="0" fontId="3" fillId="0" borderId="0" xfId="0" applyFont="1" applyAlignment="1">
      <alignment horizontal="center"/>
    </xf>
    <xf numFmtId="167" fontId="3" fillId="0" borderId="0" xfId="0" applyNumberFormat="1" applyFont="1"/>
    <xf numFmtId="175" fontId="2" fillId="15" borderId="9" xfId="1" applyNumberFormat="1" applyFont="1" applyFill="1" applyBorder="1"/>
    <xf numFmtId="175" fontId="2" fillId="15" borderId="28" xfId="1" applyNumberFormat="1" applyFont="1" applyFill="1" applyBorder="1"/>
    <xf numFmtId="175" fontId="2" fillId="15" borderId="0" xfId="1" applyNumberFormat="1" applyFont="1" applyFill="1"/>
    <xf numFmtId="175" fontId="0" fillId="14" borderId="59" xfId="0" applyNumberFormat="1" applyFill="1" applyBorder="1"/>
    <xf numFmtId="0" fontId="3" fillId="0" borderId="15" xfId="0" applyFont="1" applyBorder="1" applyAlignment="1">
      <alignment horizontal="center"/>
    </xf>
    <xf numFmtId="167" fontId="3" fillId="0" borderId="15" xfId="0" applyNumberFormat="1" applyFont="1" applyBorder="1"/>
    <xf numFmtId="175" fontId="2" fillId="15" borderId="14" xfId="1" applyNumberFormat="1" applyFont="1" applyFill="1" applyBorder="1"/>
    <xf numFmtId="175" fontId="2" fillId="15" borderId="32" xfId="1" applyNumberFormat="1" applyFont="1" applyFill="1" applyBorder="1"/>
    <xf numFmtId="175" fontId="2" fillId="15" borderId="15" xfId="1" applyNumberFormat="1" applyFont="1" applyFill="1" applyBorder="1"/>
    <xf numFmtId="175" fontId="0" fillId="14" borderId="60" xfId="0" applyNumberFormat="1" applyFill="1" applyBorder="1"/>
    <xf numFmtId="0" fontId="0" fillId="0" borderId="61" xfId="0" applyBorder="1"/>
    <xf numFmtId="0" fontId="0" fillId="0" borderId="62" xfId="0" applyBorder="1"/>
    <xf numFmtId="0" fontId="3" fillId="0" borderId="63" xfId="0" applyFont="1" applyBorder="1"/>
    <xf numFmtId="0" fontId="0" fillId="0" borderId="33" xfId="0" applyBorder="1" applyAlignment="1">
      <alignment horizontal="right" vertical="top"/>
    </xf>
    <xf numFmtId="0" fontId="3" fillId="0" borderId="36" xfId="0" applyFont="1" applyBorder="1" applyAlignment="1">
      <alignment horizontal="center"/>
    </xf>
    <xf numFmtId="0" fontId="42" fillId="0" borderId="36" xfId="0" quotePrefix="1" applyFont="1" applyBorder="1" applyAlignment="1">
      <alignment horizontal="left"/>
    </xf>
    <xf numFmtId="0" fontId="0" fillId="0" borderId="36" xfId="0" applyBorder="1"/>
    <xf numFmtId="167" fontId="0" fillId="0" borderId="35" xfId="0" applyNumberFormat="1" applyBorder="1"/>
    <xf numFmtId="175" fontId="2" fillId="14" borderId="41" xfId="1" applyNumberFormat="1" applyFont="1" applyFill="1" applyBorder="1"/>
    <xf numFmtId="175" fontId="2" fillId="15" borderId="64" xfId="1" applyNumberFormat="1" applyFont="1" applyFill="1" applyBorder="1"/>
    <xf numFmtId="175" fontId="2" fillId="15" borderId="65" xfId="1" applyNumberFormat="1" applyFont="1" applyFill="1" applyBorder="1"/>
    <xf numFmtId="175" fontId="2" fillId="15" borderId="46" xfId="1" applyNumberFormat="1" applyFont="1" applyFill="1" applyBorder="1"/>
    <xf numFmtId="44" fontId="0" fillId="0" borderId="51" xfId="2" applyFont="1" applyBorder="1"/>
    <xf numFmtId="175" fontId="0" fillId="0" borderId="51" xfId="0" applyNumberFormat="1" applyBorder="1"/>
    <xf numFmtId="175" fontId="2" fillId="14" borderId="21" xfId="1" applyNumberFormat="1" applyFont="1" applyFill="1" applyBorder="1"/>
    <xf numFmtId="175" fontId="2" fillId="14" borderId="17" xfId="1" applyNumberFormat="1" applyFont="1" applyFill="1" applyBorder="1"/>
    <xf numFmtId="175" fontId="2" fillId="14" borderId="66" xfId="1" applyNumberFormat="1" applyFont="1" applyFill="1" applyBorder="1"/>
    <xf numFmtId="175" fontId="2" fillId="14" borderId="1" xfId="1" applyNumberFormat="1" applyFont="1" applyFill="1" applyBorder="1"/>
    <xf numFmtId="175" fontId="2" fillId="14" borderId="22" xfId="1" applyNumberFormat="1" applyFont="1" applyFill="1" applyBorder="1"/>
    <xf numFmtId="175" fontId="2" fillId="14" borderId="43" xfId="0" applyNumberFormat="1" applyFont="1" applyFill="1" applyBorder="1"/>
    <xf numFmtId="175" fontId="2" fillId="0" borderId="0" xfId="0" applyNumberFormat="1" applyFont="1"/>
    <xf numFmtId="10" fontId="0" fillId="0" borderId="0" xfId="3" applyNumberFormat="1" applyFont="1"/>
    <xf numFmtId="175" fontId="2" fillId="8" borderId="0" xfId="0" applyNumberFormat="1" applyFont="1" applyFill="1"/>
    <xf numFmtId="0" fontId="44" fillId="16" borderId="0" xfId="0" applyFont="1" applyFill="1" applyAlignment="1">
      <alignment horizontal="right" wrapText="1"/>
    </xf>
    <xf numFmtId="0" fontId="44" fillId="16" borderId="0" xfId="0" applyFont="1" applyFill="1" applyAlignment="1">
      <alignment wrapText="1"/>
    </xf>
    <xf numFmtId="0" fontId="44" fillId="0" borderId="0" xfId="0" applyFont="1" applyAlignment="1">
      <alignment wrapText="1"/>
    </xf>
    <xf numFmtId="44" fontId="44" fillId="0" borderId="0" xfId="2" applyFont="1" applyAlignment="1">
      <alignment wrapText="1"/>
    </xf>
    <xf numFmtId="0" fontId="45" fillId="0" borderId="0" xfId="0" applyFont="1" applyAlignment="1">
      <alignment horizontal="right"/>
    </xf>
    <xf numFmtId="175" fontId="46" fillId="0" borderId="0" xfId="1" applyNumberFormat="1" applyFont="1"/>
    <xf numFmtId="169" fontId="46" fillId="0" borderId="0" xfId="2" applyNumberFormat="1" applyFont="1"/>
    <xf numFmtId="0" fontId="46" fillId="0" borderId="0" xfId="0" applyFont="1"/>
    <xf numFmtId="10" fontId="46" fillId="0" borderId="0" xfId="0" applyNumberFormat="1" applyFont="1"/>
    <xf numFmtId="169" fontId="46" fillId="0" borderId="0" xfId="0" applyNumberFormat="1" applyFont="1"/>
    <xf numFmtId="44" fontId="46" fillId="0" borderId="0" xfId="2" applyFont="1"/>
    <xf numFmtId="0" fontId="46" fillId="0" borderId="0" xfId="0" applyFont="1" applyAlignment="1">
      <alignment horizontal="right"/>
    </xf>
    <xf numFmtId="169" fontId="46" fillId="0" borderId="51" xfId="2" applyNumberFormat="1" applyFont="1" applyBorder="1"/>
    <xf numFmtId="169" fontId="46" fillId="0" borderId="51" xfId="0" applyNumberFormat="1" applyFont="1" applyBorder="1"/>
    <xf numFmtId="169" fontId="46" fillId="8" borderId="0" xfId="0" applyNumberFormat="1" applyFont="1" applyFill="1"/>
    <xf numFmtId="10" fontId="46" fillId="8" borderId="0" xfId="3" applyNumberFormat="1" applyFont="1" applyFill="1"/>
    <xf numFmtId="10" fontId="0" fillId="0" borderId="0" xfId="14" applyNumberFormat="1" applyFont="1"/>
    <xf numFmtId="0" fontId="3" fillId="14" borderId="0" xfId="4" applyFill="1"/>
    <xf numFmtId="0" fontId="3" fillId="19" borderId="0" xfId="4" applyFill="1"/>
    <xf numFmtId="0" fontId="6" fillId="0" borderId="0" xfId="17" applyFont="1"/>
    <xf numFmtId="0" fontId="3" fillId="0" borderId="0" xfId="17"/>
    <xf numFmtId="0" fontId="10" fillId="0" borderId="0" xfId="17" applyFont="1"/>
    <xf numFmtId="0" fontId="11" fillId="0" borderId="0" xfId="17" applyFont="1"/>
    <xf numFmtId="0" fontId="3" fillId="0" borderId="6" xfId="17" applyBorder="1"/>
    <xf numFmtId="0" fontId="3" fillId="0" borderId="7" xfId="17" applyBorder="1"/>
    <xf numFmtId="0" fontId="3" fillId="0" borderId="8" xfId="17" applyBorder="1"/>
    <xf numFmtId="0" fontId="3" fillId="0" borderId="9" xfId="17" applyBorder="1"/>
    <xf numFmtId="0" fontId="3" fillId="0" borderId="0" xfId="17" applyAlignment="1">
      <alignment horizontal="right"/>
    </xf>
    <xf numFmtId="0" fontId="6" fillId="0" borderId="0" xfId="17" applyFont="1" applyAlignment="1">
      <alignment horizontal="center"/>
    </xf>
    <xf numFmtId="0" fontId="3" fillId="0" borderId="10" xfId="17" applyBorder="1"/>
    <xf numFmtId="14" fontId="6" fillId="0" borderId="0" xfId="18" applyNumberFormat="1" applyFont="1" applyAlignment="1">
      <alignment horizontal="center"/>
    </xf>
    <xf numFmtId="0" fontId="12" fillId="0" borderId="10" xfId="17" applyFont="1" applyBorder="1" applyAlignment="1">
      <alignment horizontal="center"/>
    </xf>
    <xf numFmtId="164" fontId="3" fillId="0" borderId="11" xfId="18" applyNumberFormat="1" applyBorder="1"/>
    <xf numFmtId="0" fontId="3" fillId="0" borderId="12" xfId="17" applyBorder="1"/>
    <xf numFmtId="164" fontId="3" fillId="0" borderId="10" xfId="17" applyNumberFormat="1" applyBorder="1" applyAlignment="1">
      <alignment horizontal="center"/>
    </xf>
    <xf numFmtId="0" fontId="3" fillId="0" borderId="9" xfId="17" applyBorder="1" applyAlignment="1">
      <alignment horizontal="right"/>
    </xf>
    <xf numFmtId="0" fontId="6" fillId="0" borderId="0" xfId="4" applyFont="1" applyAlignment="1">
      <alignment horizontal="center"/>
    </xf>
    <xf numFmtId="0" fontId="6" fillId="14" borderId="0" xfId="4" applyFont="1" applyFill="1" applyAlignment="1">
      <alignment horizontal="center"/>
    </xf>
    <xf numFmtId="0" fontId="6" fillId="19" borderId="0" xfId="4" applyFont="1" applyFill="1" applyAlignment="1">
      <alignment horizontal="center"/>
    </xf>
    <xf numFmtId="164" fontId="3" fillId="0" borderId="13" xfId="18" applyNumberFormat="1" applyBorder="1"/>
    <xf numFmtId="0" fontId="3" fillId="0" borderId="10" xfId="17" applyBorder="1" applyAlignment="1">
      <alignment horizontal="center"/>
    </xf>
    <xf numFmtId="0" fontId="6" fillId="8" borderId="0" xfId="17" applyFont="1" applyFill="1" applyAlignment="1">
      <alignment horizontal="right"/>
    </xf>
    <xf numFmtId="10" fontId="6" fillId="8" borderId="10" xfId="19" applyNumberFormat="1" applyFont="1" applyFill="1" applyBorder="1" applyAlignment="1">
      <alignment horizontal="center"/>
    </xf>
    <xf numFmtId="0" fontId="3" fillId="0" borderId="14" xfId="17" applyBorder="1"/>
    <xf numFmtId="0" fontId="3" fillId="0" borderId="15" xfId="17" applyBorder="1"/>
    <xf numFmtId="0" fontId="3" fillId="0" borderId="16" xfId="17" applyBorder="1"/>
    <xf numFmtId="8" fontId="13" fillId="0" borderId="0" xfId="8" applyNumberFormat="1" applyFont="1"/>
    <xf numFmtId="8" fontId="13" fillId="0" borderId="0" xfId="8" applyNumberFormat="1" applyFont="1" applyAlignment="1">
      <alignment horizontal="right"/>
    </xf>
    <xf numFmtId="0" fontId="51" fillId="0" borderId="17" xfId="8" applyFont="1" applyBorder="1"/>
    <xf numFmtId="44" fontId="13" fillId="20" borderId="18" xfId="2" applyFont="1" applyFill="1" applyBorder="1" applyAlignment="1">
      <alignment horizontal="center"/>
    </xf>
    <xf numFmtId="8" fontId="13" fillId="0" borderId="2" xfId="8" applyNumberFormat="1" applyFont="1" applyBorder="1"/>
    <xf numFmtId="10" fontId="13" fillId="0" borderId="0" xfId="3" applyNumberFormat="1" applyFont="1"/>
    <xf numFmtId="0" fontId="51" fillId="0" borderId="19" xfId="8" applyFont="1" applyBorder="1"/>
    <xf numFmtId="169" fontId="13" fillId="20" borderId="4" xfId="2" applyNumberFormat="1" applyFont="1" applyFill="1" applyBorder="1" applyAlignment="1">
      <alignment horizontal="center"/>
    </xf>
    <xf numFmtId="6" fontId="13" fillId="0" borderId="2" xfId="8" applyNumberFormat="1" applyFont="1" applyBorder="1"/>
    <xf numFmtId="169" fontId="13" fillId="20" borderId="0" xfId="2" applyNumberFormat="1" applyFont="1" applyFill="1" applyAlignment="1">
      <alignment horizontal="center"/>
    </xf>
    <xf numFmtId="44" fontId="13" fillId="20" borderId="1" xfId="2" applyFont="1" applyFill="1" applyBorder="1" applyAlignment="1">
      <alignment horizontal="center"/>
    </xf>
    <xf numFmtId="44" fontId="13" fillId="20" borderId="4" xfId="2" applyFont="1" applyFill="1" applyBorder="1" applyAlignment="1">
      <alignment horizontal="center"/>
    </xf>
    <xf numFmtId="44" fontId="13" fillId="20" borderId="0" xfId="2" applyFont="1" applyFill="1" applyAlignment="1">
      <alignment horizontal="center"/>
    </xf>
    <xf numFmtId="0" fontId="51" fillId="0" borderId="20" xfId="8" applyFont="1" applyBorder="1"/>
    <xf numFmtId="10" fontId="15" fillId="0" borderId="0" xfId="8" applyNumberFormat="1" applyFont="1"/>
    <xf numFmtId="0" fontId="52" fillId="0" borderId="0" xfId="8" applyFont="1" applyAlignment="1">
      <alignment horizontal="right" wrapText="1"/>
    </xf>
    <xf numFmtId="10" fontId="13" fillId="0" borderId="0" xfId="3" applyNumberFormat="1" applyFont="1" applyAlignment="1">
      <alignment horizontal="center"/>
    </xf>
    <xf numFmtId="9" fontId="13" fillId="0" borderId="0" xfId="3" applyFont="1" applyAlignment="1">
      <alignment horizontal="center"/>
    </xf>
    <xf numFmtId="9" fontId="13" fillId="0" borderId="0" xfId="3" applyFont="1"/>
    <xf numFmtId="0" fontId="51" fillId="0" borderId="0" xfId="8" applyFont="1" applyAlignment="1">
      <alignment horizontal="right"/>
    </xf>
    <xf numFmtId="6" fontId="13" fillId="0" borderId="0" xfId="8" applyNumberFormat="1" applyFont="1" applyAlignment="1">
      <alignment horizontal="center"/>
    </xf>
    <xf numFmtId="0" fontId="16" fillId="0" borderId="0" xfId="8" applyFont="1" applyAlignment="1">
      <alignment horizontal="right"/>
    </xf>
    <xf numFmtId="0" fontId="16" fillId="0" borderId="0" xfId="8" applyFont="1" applyAlignment="1">
      <alignment horizontal="right" vertical="top"/>
    </xf>
    <xf numFmtId="0" fontId="49" fillId="0" borderId="0" xfId="0" applyFont="1"/>
    <xf numFmtId="44" fontId="0" fillId="0" borderId="0" xfId="0" applyNumberFormat="1"/>
    <xf numFmtId="43" fontId="17" fillId="0" borderId="0" xfId="0" applyNumberFormat="1" applyFont="1"/>
    <xf numFmtId="0" fontId="50" fillId="0" borderId="20" xfId="0" applyFont="1" applyBorder="1"/>
    <xf numFmtId="42" fontId="50" fillId="0" borderId="0" xfId="0" applyNumberFormat="1" applyFont="1"/>
    <xf numFmtId="0" fontId="2" fillId="0" borderId="3" xfId="0" applyFont="1" applyBorder="1" applyAlignment="1">
      <alignment wrapText="1"/>
    </xf>
    <xf numFmtId="8" fontId="0" fillId="0" borderId="0" xfId="0" applyNumberFormat="1"/>
    <xf numFmtId="178" fontId="0" fillId="0" borderId="0" xfId="0" applyNumberFormat="1"/>
    <xf numFmtId="168" fontId="0" fillId="0" borderId="0" xfId="0" applyNumberFormat="1"/>
    <xf numFmtId="44" fontId="0" fillId="0" borderId="0" xfId="13" applyFont="1"/>
    <xf numFmtId="10" fontId="0" fillId="0" borderId="0" xfId="9" applyNumberFormat="1" applyFont="1"/>
    <xf numFmtId="177" fontId="0" fillId="0" borderId="0" xfId="9" applyNumberFormat="1" applyFont="1"/>
    <xf numFmtId="0" fontId="55" fillId="0" borderId="0" xfId="0" applyFont="1"/>
    <xf numFmtId="0" fontId="55" fillId="0" borderId="0" xfId="0" applyFont="1" applyAlignment="1">
      <alignment wrapText="1"/>
    </xf>
    <xf numFmtId="0" fontId="39" fillId="17" borderId="17" xfId="0" applyFont="1" applyFill="1" applyBorder="1"/>
    <xf numFmtId="0" fontId="39" fillId="17" borderId="1" xfId="0" applyFont="1" applyFill="1" applyBorder="1"/>
    <xf numFmtId="0" fontId="39" fillId="17" borderId="2" xfId="0" applyFont="1" applyFill="1" applyBorder="1"/>
    <xf numFmtId="0" fontId="50" fillId="0" borderId="0" xfId="0" applyFont="1" applyAlignment="1">
      <alignment horizontal="center" wrapText="1"/>
    </xf>
    <xf numFmtId="0" fontId="2" fillId="18" borderId="67" xfId="0" applyFont="1" applyFill="1" applyBorder="1" applyAlignment="1">
      <alignment horizontal="center" vertical="center" wrapText="1"/>
    </xf>
    <xf numFmtId="0" fontId="57" fillId="18" borderId="68" xfId="0" applyFont="1" applyFill="1" applyBorder="1" applyAlignment="1">
      <alignment horizontal="center" vertical="center" wrapText="1"/>
    </xf>
    <xf numFmtId="0" fontId="50" fillId="0" borderId="0" xfId="0" applyFont="1" applyAlignment="1">
      <alignment horizontal="center"/>
    </xf>
    <xf numFmtId="0" fontId="39" fillId="0" borderId="20" xfId="0" applyFont="1" applyBorder="1"/>
    <xf numFmtId="0" fontId="50" fillId="0" borderId="0" xfId="0" applyFont="1"/>
    <xf numFmtId="0" fontId="0" fillId="0" borderId="3" xfId="0" applyBorder="1" applyAlignment="1">
      <alignment wrapText="1"/>
    </xf>
    <xf numFmtId="0" fontId="59" fillId="0" borderId="70" xfId="0" applyFont="1" applyBorder="1" applyAlignment="1">
      <alignment vertical="center" wrapText="1"/>
    </xf>
    <xf numFmtId="0" fontId="59" fillId="0" borderId="70" xfId="0" applyFont="1" applyBorder="1" applyAlignment="1">
      <alignment horizontal="center" vertical="center" wrapText="1"/>
    </xf>
    <xf numFmtId="0" fontId="59" fillId="0" borderId="70" xfId="0" applyFont="1" applyBorder="1" applyAlignment="1">
      <alignment horizontal="left" vertical="center" wrapText="1"/>
    </xf>
    <xf numFmtId="0" fontId="50" fillId="0" borderId="0" xfId="0" applyFont="1" applyAlignment="1">
      <alignment horizontal="left"/>
    </xf>
    <xf numFmtId="3" fontId="50" fillId="0" borderId="3" xfId="0" applyNumberFormat="1" applyFont="1" applyBorder="1"/>
    <xf numFmtId="0" fontId="39" fillId="0" borderId="0" xfId="0" applyFont="1"/>
    <xf numFmtId="42" fontId="39" fillId="0" borderId="0" xfId="0" applyNumberFormat="1" applyFont="1"/>
    <xf numFmtId="0" fontId="39" fillId="0" borderId="3" xfId="0" applyFont="1" applyBorder="1"/>
    <xf numFmtId="0" fontId="50" fillId="0" borderId="3" xfId="0" applyFont="1" applyBorder="1" applyAlignment="1">
      <alignment horizontal="center"/>
    </xf>
    <xf numFmtId="0" fontId="50" fillId="0" borderId="17" xfId="0" applyFont="1" applyBorder="1"/>
    <xf numFmtId="0" fontId="39" fillId="0" borderId="1" xfId="0" applyFont="1" applyBorder="1"/>
    <xf numFmtId="42" fontId="39" fillId="0" borderId="1" xfId="0" applyNumberFormat="1" applyFont="1" applyBorder="1"/>
    <xf numFmtId="4" fontId="39" fillId="0" borderId="1" xfId="0" applyNumberFormat="1" applyFont="1" applyBorder="1"/>
    <xf numFmtId="42" fontId="39" fillId="0" borderId="2" xfId="0" applyNumberFormat="1" applyFont="1" applyBorder="1"/>
    <xf numFmtId="4" fontId="39" fillId="0" borderId="0" xfId="0" applyNumberFormat="1" applyFont="1"/>
    <xf numFmtId="42" fontId="39" fillId="0" borderId="3" xfId="0" applyNumberFormat="1" applyFont="1" applyBorder="1"/>
    <xf numFmtId="0" fontId="39" fillId="0" borderId="3" xfId="0" applyFont="1" applyBorder="1" applyAlignment="1">
      <alignment wrapText="1"/>
    </xf>
    <xf numFmtId="0" fontId="58" fillId="0" borderId="20" xfId="0" applyFont="1" applyBorder="1"/>
    <xf numFmtId="0" fontId="58" fillId="0" borderId="0" xfId="0" applyFont="1"/>
    <xf numFmtId="42" fontId="58" fillId="0" borderId="0" xfId="0" applyNumberFormat="1" applyFont="1"/>
    <xf numFmtId="4" fontId="58" fillId="0" borderId="0" xfId="0" applyNumberFormat="1" applyFont="1"/>
    <xf numFmtId="42" fontId="58" fillId="0" borderId="3" xfId="0" applyNumberFormat="1" applyFont="1" applyBorder="1"/>
    <xf numFmtId="6" fontId="39" fillId="0" borderId="0" xfId="0" applyNumberFormat="1" applyFont="1"/>
    <xf numFmtId="0" fontId="39" fillId="0" borderId="19" xfId="0" applyFont="1" applyBorder="1"/>
    <xf numFmtId="0" fontId="39" fillId="0" borderId="4" xfId="0" applyFont="1" applyBorder="1"/>
    <xf numFmtId="42" fontId="39" fillId="0" borderId="4" xfId="0" applyNumberFormat="1" applyFont="1" applyBorder="1"/>
    <xf numFmtId="176" fontId="39" fillId="0" borderId="4" xfId="0" applyNumberFormat="1" applyFont="1" applyBorder="1"/>
    <xf numFmtId="0" fontId="50" fillId="0" borderId="21" xfId="0" applyFont="1" applyBorder="1"/>
    <xf numFmtId="0" fontId="50" fillId="0" borderId="22" xfId="0" applyFont="1" applyBorder="1"/>
    <xf numFmtId="176" fontId="50" fillId="0" borderId="22" xfId="0" applyNumberFormat="1" applyFont="1" applyBorder="1"/>
    <xf numFmtId="42" fontId="50" fillId="0" borderId="23" xfId="0" applyNumberFormat="1" applyFont="1" applyBorder="1"/>
    <xf numFmtId="4" fontId="50" fillId="0" borderId="22" xfId="0" applyNumberFormat="1" applyFont="1" applyBorder="1"/>
    <xf numFmtId="10" fontId="39" fillId="0" borderId="0" xfId="0" applyNumberFormat="1" applyFont="1"/>
    <xf numFmtId="0" fontId="50" fillId="0" borderId="33" xfId="0" applyFont="1" applyBorder="1"/>
    <xf numFmtId="0" fontId="50" fillId="0" borderId="36" xfId="0" applyFont="1" applyBorder="1"/>
    <xf numFmtId="44" fontId="50" fillId="0" borderId="36" xfId="0" applyNumberFormat="1" applyFont="1" applyBorder="1"/>
    <xf numFmtId="42" fontId="50" fillId="0" borderId="35" xfId="0" applyNumberFormat="1" applyFont="1" applyBorder="1"/>
    <xf numFmtId="44" fontId="39" fillId="0" borderId="0" xfId="13" applyFont="1"/>
    <xf numFmtId="44" fontId="39" fillId="0" borderId="0" xfId="0" applyNumberFormat="1" applyFont="1"/>
    <xf numFmtId="169" fontId="39" fillId="0" borderId="3" xfId="0" applyNumberFormat="1" applyFont="1" applyBorder="1"/>
    <xf numFmtId="169" fontId="39" fillId="0" borderId="0" xfId="0" applyNumberFormat="1" applyFont="1"/>
    <xf numFmtId="177" fontId="39" fillId="0" borderId="4" xfId="9" applyNumberFormat="1" applyFont="1" applyBorder="1"/>
    <xf numFmtId="0" fontId="0" fillId="0" borderId="5" xfId="0" applyBorder="1" applyAlignment="1">
      <alignment wrapText="1"/>
    </xf>
    <xf numFmtId="175" fontId="39" fillId="0" borderId="0" xfId="1" applyNumberFormat="1" applyFont="1"/>
    <xf numFmtId="0" fontId="0" fillId="0" borderId="0" xfId="0" applyAlignment="1">
      <alignment wrapText="1"/>
    </xf>
    <xf numFmtId="9" fontId="39" fillId="0" borderId="0" xfId="9" applyFont="1"/>
    <xf numFmtId="0" fontId="50" fillId="0" borderId="50" xfId="0" applyFont="1" applyBorder="1"/>
    <xf numFmtId="0" fontId="39" fillId="0" borderId="51" xfId="0" applyFont="1" applyBorder="1"/>
    <xf numFmtId="42" fontId="50" fillId="0" borderId="52" xfId="0" applyNumberFormat="1" applyFont="1" applyBorder="1"/>
    <xf numFmtId="0" fontId="39" fillId="0" borderId="21" xfId="0" applyFont="1" applyBorder="1"/>
    <xf numFmtId="0" fontId="50" fillId="0" borderId="22" xfId="0" applyFont="1" applyBorder="1" applyAlignment="1">
      <alignment horizontal="center"/>
    </xf>
    <xf numFmtId="10" fontId="50" fillId="0" borderId="22" xfId="0" applyNumberFormat="1" applyFont="1" applyBorder="1"/>
    <xf numFmtId="44" fontId="50" fillId="0" borderId="22" xfId="13" applyFont="1" applyBorder="1"/>
    <xf numFmtId="44" fontId="39" fillId="0" borderId="23" xfId="13" applyFont="1" applyBorder="1"/>
    <xf numFmtId="0" fontId="0" fillId="0" borderId="22" xfId="0" applyBorder="1"/>
    <xf numFmtId="9" fontId="0" fillId="0" borderId="22" xfId="0" applyNumberFormat="1" applyBorder="1"/>
    <xf numFmtId="44" fontId="50" fillId="8" borderId="23" xfId="13" applyFont="1" applyFill="1" applyBorder="1"/>
    <xf numFmtId="0" fontId="2" fillId="0" borderId="19" xfId="0" applyFont="1" applyBorder="1"/>
    <xf numFmtId="44" fontId="50" fillId="0" borderId="4" xfId="13" applyFont="1" applyBorder="1"/>
    <xf numFmtId="169" fontId="50" fillId="8" borderId="5" xfId="13" applyNumberFormat="1" applyFont="1" applyFill="1" applyBorder="1"/>
    <xf numFmtId="0" fontId="49" fillId="0" borderId="21" xfId="0" applyFont="1" applyBorder="1"/>
    <xf numFmtId="0" fontId="49" fillId="0" borderId="22" xfId="0" applyFont="1" applyBorder="1"/>
    <xf numFmtId="9" fontId="49" fillId="0" borderId="22" xfId="0" applyNumberFormat="1" applyFont="1" applyBorder="1"/>
    <xf numFmtId="44" fontId="58" fillId="0" borderId="22" xfId="13" applyFont="1" applyBorder="1"/>
    <xf numFmtId="44" fontId="50" fillId="0" borderId="0" xfId="13" applyFont="1"/>
    <xf numFmtId="169" fontId="50" fillId="0" borderId="5" xfId="13" applyNumberFormat="1" applyFont="1" applyBorder="1"/>
    <xf numFmtId="0" fontId="49" fillId="0" borderId="0" xfId="0" applyFont="1" applyAlignment="1">
      <alignment wrapText="1"/>
    </xf>
    <xf numFmtId="10" fontId="50" fillId="0" borderId="0" xfId="14" applyNumberFormat="1" applyFont="1" applyAlignment="1">
      <alignment horizontal="right"/>
    </xf>
    <xf numFmtId="44" fontId="50" fillId="0" borderId="0" xfId="0" applyNumberFormat="1" applyFont="1"/>
    <xf numFmtId="169" fontId="39" fillId="0" borderId="0" xfId="13" applyNumberFormat="1" applyFont="1"/>
    <xf numFmtId="44" fontId="18" fillId="0" borderId="2" xfId="0" applyNumberFormat="1" applyFont="1" applyBorder="1"/>
    <xf numFmtId="10" fontId="17" fillId="12" borderId="0" xfId="3" applyNumberFormat="1" applyFont="1" applyFill="1" applyBorder="1"/>
    <xf numFmtId="169" fontId="18" fillId="12" borderId="28" xfId="2" applyNumberFormat="1" applyFont="1" applyFill="1" applyBorder="1" applyAlignment="1">
      <alignment horizontal="center" vertical="top"/>
    </xf>
    <xf numFmtId="44" fontId="19" fillId="0" borderId="0" xfId="10" applyFont="1" applyBorder="1"/>
    <xf numFmtId="10" fontId="17" fillId="0" borderId="0" xfId="3" applyNumberFormat="1" applyFont="1" applyBorder="1"/>
    <xf numFmtId="0" fontId="20" fillId="0" borderId="0" xfId="0" applyFont="1" applyAlignment="1">
      <alignment vertical="center" wrapText="1"/>
    </xf>
    <xf numFmtId="49" fontId="20" fillId="0" borderId="0" xfId="0" applyNumberFormat="1" applyFont="1" applyAlignment="1">
      <alignment vertical="center" wrapText="1"/>
    </xf>
    <xf numFmtId="6" fontId="31" fillId="0" borderId="0" xfId="0" applyNumberFormat="1" applyFont="1" applyAlignment="1">
      <alignment vertical="center"/>
    </xf>
    <xf numFmtId="172" fontId="17" fillId="0" borderId="0" xfId="0" applyNumberFormat="1" applyFont="1"/>
    <xf numFmtId="0" fontId="4" fillId="2" borderId="1" xfId="4" applyFont="1" applyFill="1" applyBorder="1" applyAlignment="1">
      <alignment horizontal="left"/>
    </xf>
    <xf numFmtId="0" fontId="4" fillId="2" borderId="2" xfId="4" applyFont="1" applyFill="1" applyBorder="1" applyAlignment="1">
      <alignment horizontal="left"/>
    </xf>
    <xf numFmtId="0" fontId="9" fillId="0" borderId="9" xfId="6" applyBorder="1" applyAlignment="1">
      <alignment horizontal="right"/>
    </xf>
    <xf numFmtId="0" fontId="9" fillId="0" borderId="0" xfId="6" applyAlignment="1">
      <alignment horizontal="right"/>
    </xf>
    <xf numFmtId="0" fontId="13" fillId="0" borderId="2" xfId="8" applyFont="1" applyBorder="1" applyAlignment="1">
      <alignment horizontal="left" vertical="center" wrapText="1"/>
    </xf>
    <xf numFmtId="0" fontId="13" fillId="0" borderId="5" xfId="8" applyFont="1" applyBorder="1" applyAlignment="1">
      <alignment horizontal="left" vertical="center" wrapText="1"/>
    </xf>
    <xf numFmtId="0" fontId="13" fillId="0" borderId="1" xfId="8" applyFont="1" applyBorder="1" applyAlignment="1">
      <alignment horizontal="left" vertical="top" wrapText="1"/>
    </xf>
    <xf numFmtId="0" fontId="13" fillId="0" borderId="4" xfId="8" applyFont="1" applyBorder="1" applyAlignment="1">
      <alignment horizontal="left" vertical="top" wrapText="1"/>
    </xf>
    <xf numFmtId="0" fontId="13" fillId="0" borderId="3" xfId="8" applyFont="1" applyBorder="1" applyAlignment="1">
      <alignment horizontal="left" vertical="center" wrapText="1"/>
    </xf>
    <xf numFmtId="49" fontId="13" fillId="0" borderId="2" xfId="8" applyNumberFormat="1" applyFont="1" applyBorder="1" applyAlignment="1">
      <alignment horizontal="left" vertical="center" wrapText="1"/>
    </xf>
    <xf numFmtId="49" fontId="13" fillId="0" borderId="5" xfId="8" applyNumberFormat="1" applyFont="1" applyBorder="1" applyAlignment="1">
      <alignment horizontal="left" vertical="center" wrapText="1"/>
    </xf>
    <xf numFmtId="0" fontId="13" fillId="0" borderId="1" xfId="8" applyFont="1" applyBorder="1" applyAlignment="1">
      <alignment vertical="top" wrapText="1"/>
    </xf>
    <xf numFmtId="0" fontId="13" fillId="0" borderId="4" xfId="8" applyFont="1" applyBorder="1" applyAlignment="1">
      <alignment vertical="top" wrapText="1"/>
    </xf>
    <xf numFmtId="0" fontId="13" fillId="0" borderId="0" xfId="8" applyFont="1" applyAlignment="1">
      <alignment horizontal="left" vertical="top" wrapText="1"/>
    </xf>
    <xf numFmtId="0" fontId="13" fillId="0" borderId="0" xfId="8" applyFont="1" applyAlignment="1">
      <alignment horizontal="center"/>
    </xf>
    <xf numFmtId="0" fontId="15" fillId="0" borderId="0" xfId="8" applyFont="1" applyAlignment="1">
      <alignment horizontal="center"/>
    </xf>
    <xf numFmtId="0" fontId="3" fillId="0" borderId="9" xfId="17" applyBorder="1" applyAlignment="1">
      <alignment horizontal="right"/>
    </xf>
    <xf numFmtId="0" fontId="3" fillId="0" borderId="0" xfId="17" applyAlignment="1">
      <alignment horizontal="right"/>
    </xf>
    <xf numFmtId="0" fontId="28" fillId="9" borderId="21" xfId="0" applyFont="1" applyFill="1" applyBorder="1" applyAlignment="1">
      <alignment horizontal="center"/>
    </xf>
    <xf numFmtId="0" fontId="28" fillId="9" borderId="22" xfId="0" applyFont="1" applyFill="1" applyBorder="1" applyAlignment="1">
      <alignment horizontal="center"/>
    </xf>
    <xf numFmtId="0" fontId="28" fillId="9" borderId="23" xfId="0" applyFont="1" applyFill="1" applyBorder="1" applyAlignment="1">
      <alignment horizontal="center"/>
    </xf>
    <xf numFmtId="0" fontId="28" fillId="10" borderId="21" xfId="0" applyFont="1" applyFill="1" applyBorder="1" applyAlignment="1">
      <alignment horizontal="center"/>
    </xf>
    <xf numFmtId="0" fontId="28" fillId="10" borderId="22" xfId="0" applyFont="1" applyFill="1" applyBorder="1" applyAlignment="1">
      <alignment horizontal="center"/>
    </xf>
    <xf numFmtId="0" fontId="28" fillId="10" borderId="23" xfId="0" applyFont="1" applyFill="1" applyBorder="1" applyAlignment="1">
      <alignment horizontal="center"/>
    </xf>
    <xf numFmtId="0" fontId="21" fillId="11" borderId="21" xfId="0" applyFont="1" applyFill="1" applyBorder="1" applyAlignment="1">
      <alignment horizontal="center" vertical="center"/>
    </xf>
    <xf numFmtId="0" fontId="21" fillId="11" borderId="22" xfId="0" applyFont="1" applyFill="1" applyBorder="1" applyAlignment="1">
      <alignment horizontal="center" vertical="center"/>
    </xf>
    <xf numFmtId="0" fontId="21" fillId="11" borderId="23" xfId="0" applyFont="1" applyFill="1" applyBorder="1" applyAlignment="1">
      <alignment horizontal="center" vertical="center"/>
    </xf>
    <xf numFmtId="0" fontId="30" fillId="0" borderId="24" xfId="0" applyFont="1" applyBorder="1" applyAlignment="1">
      <alignment horizontal="center"/>
    </xf>
    <xf numFmtId="0" fontId="30" fillId="0" borderId="25" xfId="0" applyFont="1" applyBorder="1" applyAlignment="1">
      <alignment horizontal="center"/>
    </xf>
    <xf numFmtId="0" fontId="30" fillId="12" borderId="33" xfId="0" applyFont="1" applyFill="1" applyBorder="1" applyAlignment="1">
      <alignment horizontal="center" vertical="top" wrapText="1" readingOrder="1"/>
    </xf>
    <xf numFmtId="0" fontId="30" fillId="12" borderId="34" xfId="0" applyFont="1" applyFill="1" applyBorder="1" applyAlignment="1">
      <alignment horizontal="center" vertical="top" wrapText="1" readingOrder="1"/>
    </xf>
    <xf numFmtId="0" fontId="30" fillId="0" borderId="33" xfId="0" applyFont="1" applyBorder="1" applyAlignment="1">
      <alignment horizontal="center"/>
    </xf>
    <xf numFmtId="0" fontId="30" fillId="0" borderId="34" xfId="0" applyFont="1" applyBorder="1" applyAlignment="1">
      <alignment horizontal="center"/>
    </xf>
    <xf numFmtId="0" fontId="18" fillId="0" borderId="0" xfId="0" applyFont="1" applyAlignment="1">
      <alignment horizontal="left" vertical="top" wrapText="1"/>
    </xf>
    <xf numFmtId="0" fontId="17" fillId="9" borderId="21" xfId="0" applyFont="1" applyFill="1" applyBorder="1" applyAlignment="1">
      <alignment horizontal="center"/>
    </xf>
    <xf numFmtId="0" fontId="17" fillId="9" borderId="22" xfId="0" applyFont="1" applyFill="1" applyBorder="1" applyAlignment="1">
      <alignment horizontal="center"/>
    </xf>
    <xf numFmtId="0" fontId="17" fillId="9" borderId="23" xfId="0" applyFont="1" applyFill="1" applyBorder="1" applyAlignment="1">
      <alignment horizontal="center"/>
    </xf>
    <xf numFmtId="0" fontId="17" fillId="10" borderId="21" xfId="0" applyFont="1" applyFill="1" applyBorder="1" applyAlignment="1">
      <alignment horizontal="center"/>
    </xf>
    <xf numFmtId="0" fontId="17" fillId="10" borderId="22" xfId="0" applyFont="1" applyFill="1" applyBorder="1" applyAlignment="1">
      <alignment horizontal="center"/>
    </xf>
    <xf numFmtId="0" fontId="17" fillId="10" borderId="23" xfId="0" applyFont="1" applyFill="1" applyBorder="1" applyAlignment="1">
      <alignment horizontal="center"/>
    </xf>
    <xf numFmtId="0" fontId="18" fillId="11" borderId="21" xfId="0" applyFont="1" applyFill="1" applyBorder="1" applyAlignment="1">
      <alignment horizontal="center" vertical="center"/>
    </xf>
    <xf numFmtId="0" fontId="18" fillId="11" borderId="22" xfId="0" applyFont="1" applyFill="1" applyBorder="1" applyAlignment="1">
      <alignment horizontal="center" vertical="center"/>
    </xf>
    <xf numFmtId="0" fontId="18" fillId="11" borderId="23" xfId="0" applyFont="1" applyFill="1" applyBorder="1" applyAlignment="1">
      <alignment horizontal="center" vertical="center"/>
    </xf>
    <xf numFmtId="0" fontId="20" fillId="0" borderId="24" xfId="0" applyFont="1" applyBorder="1" applyAlignment="1">
      <alignment horizontal="center"/>
    </xf>
    <xf numFmtId="0" fontId="20" fillId="0" borderId="25" xfId="0" applyFont="1" applyBorder="1" applyAlignment="1">
      <alignment horizontal="center"/>
    </xf>
    <xf numFmtId="0" fontId="20" fillId="12" borderId="33" xfId="0" applyFont="1" applyFill="1" applyBorder="1" applyAlignment="1">
      <alignment horizontal="center" vertical="top" wrapText="1" readingOrder="1"/>
    </xf>
    <xf numFmtId="0" fontId="20" fillId="12" borderId="34" xfId="0" applyFont="1" applyFill="1" applyBorder="1" applyAlignment="1">
      <alignment horizontal="center" vertical="top" wrapText="1" readingOrder="1"/>
    </xf>
    <xf numFmtId="0" fontId="20" fillId="0" borderId="33" xfId="0" applyFont="1" applyBorder="1" applyAlignment="1">
      <alignment horizontal="center"/>
    </xf>
    <xf numFmtId="0" fontId="20" fillId="0" borderId="34" xfId="0" applyFont="1" applyBorder="1" applyAlignment="1">
      <alignment horizontal="center"/>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30" fillId="0" borderId="33" xfId="0" applyFont="1" applyBorder="1" applyAlignment="1">
      <alignment horizontal="center" vertical="top" wrapText="1" readingOrder="1"/>
    </xf>
    <xf numFmtId="0" fontId="30" fillId="0" borderId="34" xfId="0" applyFont="1" applyBorder="1" applyAlignment="1">
      <alignment horizontal="center" vertical="top" wrapText="1" readingOrder="1"/>
    </xf>
    <xf numFmtId="0" fontId="29" fillId="9" borderId="21" xfId="11" applyFont="1" applyFill="1" applyBorder="1" applyAlignment="1">
      <alignment horizontal="center"/>
    </xf>
    <xf numFmtId="0" fontId="29" fillId="9" borderId="22" xfId="11" applyFont="1" applyFill="1" applyBorder="1" applyAlignment="1">
      <alignment horizontal="center"/>
    </xf>
    <xf numFmtId="0" fontId="29" fillId="9" borderId="23" xfId="11" applyFont="1" applyFill="1" applyBorder="1" applyAlignment="1">
      <alignment horizontal="center"/>
    </xf>
    <xf numFmtId="0" fontId="29" fillId="10" borderId="21" xfId="11" applyFont="1" applyFill="1" applyBorder="1" applyAlignment="1">
      <alignment horizontal="center"/>
    </xf>
    <xf numFmtId="0" fontId="29" fillId="10" borderId="22" xfId="11" applyFont="1" applyFill="1" applyBorder="1" applyAlignment="1">
      <alignment horizontal="center"/>
    </xf>
    <xf numFmtId="0" fontId="29" fillId="10" borderId="23" xfId="11" applyFont="1" applyFill="1" applyBorder="1" applyAlignment="1">
      <alignment horizontal="center"/>
    </xf>
    <xf numFmtId="0" fontId="50" fillId="17" borderId="17" xfId="0" applyFont="1" applyFill="1" applyBorder="1" applyAlignment="1">
      <alignment horizontal="center" vertical="center"/>
    </xf>
    <xf numFmtId="0" fontId="50" fillId="17" borderId="1" xfId="0" applyFont="1" applyFill="1" applyBorder="1" applyAlignment="1">
      <alignment horizontal="center" vertical="center"/>
    </xf>
    <xf numFmtId="0" fontId="50" fillId="17" borderId="2" xfId="0" applyFont="1" applyFill="1" applyBorder="1" applyAlignment="1">
      <alignment horizontal="center" vertical="center"/>
    </xf>
    <xf numFmtId="0" fontId="50" fillId="17" borderId="19" xfId="0" applyFont="1" applyFill="1" applyBorder="1" applyAlignment="1">
      <alignment horizontal="center" vertical="center"/>
    </xf>
    <xf numFmtId="0" fontId="50" fillId="17" borderId="4" xfId="0" applyFont="1" applyFill="1" applyBorder="1" applyAlignment="1">
      <alignment horizontal="center" vertical="center"/>
    </xf>
    <xf numFmtId="0" fontId="50" fillId="17" borderId="5" xfId="0" applyFont="1" applyFill="1" applyBorder="1" applyAlignment="1">
      <alignment horizontal="center" vertical="center"/>
    </xf>
    <xf numFmtId="0" fontId="49" fillId="0" borderId="0" xfId="0" applyFont="1" applyAlignment="1">
      <alignment horizontal="center"/>
    </xf>
    <xf numFmtId="0" fontId="59" fillId="0" borderId="70" xfId="0" applyFont="1" applyBorder="1" applyAlignment="1">
      <alignment horizontal="left" vertical="center" wrapText="1"/>
    </xf>
    <xf numFmtId="0" fontId="56" fillId="17" borderId="17" xfId="0" applyFont="1" applyFill="1" applyBorder="1" applyAlignment="1">
      <alignment horizontal="center"/>
    </xf>
    <xf numFmtId="0" fontId="56" fillId="17" borderId="1" xfId="0" applyFont="1" applyFill="1" applyBorder="1" applyAlignment="1">
      <alignment horizontal="center"/>
    </xf>
    <xf numFmtId="0" fontId="56" fillId="17" borderId="2" xfId="0" applyFont="1" applyFill="1" applyBorder="1" applyAlignment="1">
      <alignment horizontal="center"/>
    </xf>
    <xf numFmtId="0" fontId="57" fillId="18" borderId="69" xfId="0" applyFont="1" applyFill="1" applyBorder="1" applyAlignment="1">
      <alignment horizontal="left" vertical="center" wrapText="1"/>
    </xf>
    <xf numFmtId="0" fontId="57" fillId="18" borderId="0" xfId="0" applyFont="1" applyFill="1" applyAlignment="1">
      <alignment horizontal="left" vertical="center" wrapText="1"/>
    </xf>
    <xf numFmtId="0" fontId="50" fillId="17" borderId="19" xfId="0" applyFont="1" applyFill="1" applyBorder="1" applyAlignment="1">
      <alignment horizontal="center"/>
    </xf>
    <xf numFmtId="0" fontId="50" fillId="17" borderId="4" xfId="0" applyFont="1" applyFill="1" applyBorder="1" applyAlignment="1">
      <alignment horizontal="center"/>
    </xf>
    <xf numFmtId="0" fontId="50" fillId="17" borderId="5" xfId="0" applyFont="1" applyFill="1" applyBorder="1" applyAlignment="1">
      <alignment horizontal="center"/>
    </xf>
    <xf numFmtId="0" fontId="56" fillId="17" borderId="20" xfId="0" applyFont="1" applyFill="1" applyBorder="1" applyAlignment="1">
      <alignment horizontal="center"/>
    </xf>
    <xf numFmtId="0" fontId="56" fillId="17" borderId="0" xfId="0" applyFont="1" applyFill="1" applyAlignment="1">
      <alignment horizontal="center"/>
    </xf>
    <xf numFmtId="0" fontId="56" fillId="17" borderId="3" xfId="0" applyFont="1" applyFill="1" applyBorder="1" applyAlignment="1">
      <alignment horizontal="center"/>
    </xf>
    <xf numFmtId="175" fontId="2" fillId="14" borderId="28" xfId="1" applyNumberFormat="1" applyFont="1" applyFill="1" applyBorder="1" applyAlignment="1">
      <alignment horizontal="center"/>
    </xf>
    <xf numFmtId="175" fontId="2" fillId="14" borderId="32" xfId="1" applyNumberFormat="1" applyFont="1" applyFill="1" applyBorder="1" applyAlignment="1">
      <alignment horizontal="center"/>
    </xf>
    <xf numFmtId="37" fontId="2" fillId="14" borderId="21" xfId="0" applyNumberFormat="1" applyFont="1" applyFill="1" applyBorder="1" applyAlignment="1">
      <alignment horizontal="center"/>
    </xf>
    <xf numFmtId="37" fontId="2" fillId="14" borderId="22" xfId="0" applyNumberFormat="1" applyFont="1" applyFill="1" applyBorder="1" applyAlignment="1">
      <alignment horizontal="center"/>
    </xf>
    <xf numFmtId="37" fontId="2" fillId="14" borderId="23" xfId="0" applyNumberFormat="1" applyFont="1" applyFill="1" applyBorder="1" applyAlignment="1">
      <alignment horizontal="center"/>
    </xf>
    <xf numFmtId="0" fontId="43" fillId="16" borderId="0" xfId="0" applyFont="1" applyFill="1" applyAlignment="1">
      <alignment horizontal="center"/>
    </xf>
  </cellXfs>
  <cellStyles count="20">
    <cellStyle name="Comma" xfId="1" builtinId="3"/>
    <cellStyle name="Comma 2" xfId="16" xr:uid="{F40D786D-3344-4992-941D-CEFF2A237DA1}"/>
    <cellStyle name="Currency" xfId="2" builtinId="4"/>
    <cellStyle name="Currency 2 2 2" xfId="13" xr:uid="{D8D96372-30C8-4A16-81BB-A1A8A61CC771}"/>
    <cellStyle name="Currency 4" xfId="10" xr:uid="{5CC971BD-BA0D-4E7A-A8F2-36E25617CE59}"/>
    <cellStyle name="Normal" xfId="0" builtinId="0"/>
    <cellStyle name="Normal 10" xfId="4" xr:uid="{E04F09DB-94B0-4504-81CB-983F1894530E}"/>
    <cellStyle name="Normal 18 2" xfId="18" xr:uid="{525F9F6A-614F-449E-9680-3142ADD84B27}"/>
    <cellStyle name="Normal 2" xfId="15" xr:uid="{6B327723-E691-4BD5-837D-0B5FD8ECD835}"/>
    <cellStyle name="Normal 3" xfId="11" xr:uid="{9BC19485-0EEF-4F9F-981B-970030391AEF}"/>
    <cellStyle name="Normal 4 2 2" xfId="17" xr:uid="{ABF3E63F-BAC9-422B-B5E3-5DB477AA5F7B}"/>
    <cellStyle name="Normal 4 5" xfId="6" xr:uid="{B8465C34-F1EA-4BBA-9D48-F70AE651F4AA}"/>
    <cellStyle name="Normal 5 3 3" xfId="8" xr:uid="{DD410985-02B3-487E-8411-C8CA4CA51599}"/>
    <cellStyle name="Normal 6 2" xfId="5" xr:uid="{C45273C4-1813-48CB-A036-1E30AA2617E2}"/>
    <cellStyle name="Percent" xfId="3" builtinId="5"/>
    <cellStyle name="Percent 10 2" xfId="9" xr:uid="{AC679B5E-ADE3-4186-94D0-E2976E114C58}"/>
    <cellStyle name="Percent 2" xfId="14" xr:uid="{359A3958-86EF-40F5-AE06-74640B4E4C61}"/>
    <cellStyle name="Percent 2 2" xfId="7" xr:uid="{9F749761-ABB6-4CCA-B847-5A615E9E437A}"/>
    <cellStyle name="Percent 2 2 2" xfId="19" xr:uid="{9BF212E1-6BC0-45A3-88C6-979E536EBD1B}"/>
    <cellStyle name="Percent 5" xfId="12" xr:uid="{E31CC38F-6DB0-4ADE-A38A-FC5BB9EE53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15</xdr:row>
      <xdr:rowOff>114300</xdr:rowOff>
    </xdr:from>
    <xdr:to>
      <xdr:col>13</xdr:col>
      <xdr:colOff>190500</xdr:colOff>
      <xdr:row>25</xdr:row>
      <xdr:rowOff>76200</xdr:rowOff>
    </xdr:to>
    <xdr:pic>
      <xdr:nvPicPr>
        <xdr:cNvPr id="2" name="Picture 21">
          <a:extLst>
            <a:ext uri="{FF2B5EF4-FFF2-40B4-BE49-F238E27FC236}">
              <a16:creationId xmlns:a16="http://schemas.microsoft.com/office/drawing/2014/main" id="{8C979BF4-9EB0-4747-875B-DD5288030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667000"/>
          <a:ext cx="970597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HS-FP-BOS-081\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HS-FP-BOS-081\W_Pricing\SubAbuse\2013\Resi%20Rehab\Data\Resi%20Rehab%20_All%20Codes%20Analysi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KaSolimini\Desktop\C.257%20%20BLS%20Benchmarks%20M2021%2053rd%20wip.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M2023%20BLS.xlsx" TargetMode="External"/><Relationship Id="rId1" Type="http://schemas.openxmlformats.org/officeDocument/2006/relationships/externalLinkPath" Target="file:///X:\Administrative%20Services-POS%20Policy%20Office\Rate%20Setting\Implementation%20&amp;%20Benchmarks\C257%20M2023%20BL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X:\Administrative%20Services-POS%20Policy%20Office\Rate%20Setting\Rate%20Projects\DMH%20-%20PACT-CMR%20430\FY24%20Rate%20Review\1.%20Strategy%20Materials\1.%20PACT%20Models%20FY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Food%20Benchmarks.xlsx" TargetMode="External"/><Relationship Id="rId1" Type="http://schemas.openxmlformats.org/officeDocument/2006/relationships/externalLinkPath" Target="file:///X:\Administrative%20Services-POS%20Policy%20Office\Rate%20Setting\Implementation%20&amp;%20Benchmarks\Food%20Benchmark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X:\Administrative%20Services-POS%20Policy%20Office\Rate%20Setting\Rate%20Projects\DMH%20-%20PACT-CMR%20430\FY24%20Rate%20Review\1.%20Strategy%20Materials\2.%20PACT%20Youth%20Dept%20Rate%20v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cf06\workgroups\W_Pricing\SubAbuse\2012\Data\Outpatient%20Counseling%20&amp;%20Other%20Related\Counseling%20Rate%20Options%20MARCH%201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8">
          <cell r="L68">
            <v>72.246451723559602</v>
          </cell>
        </row>
      </sheetData>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1 BLS SALARY CHART (53_PCT)"/>
      <sheetName val="M2021 BLS  SALARY CHART Median"/>
      <sheetName val="Sheet1"/>
      <sheetName val="M2021 all details"/>
      <sheetName val="DC  CNA  DC III"/>
      <sheetName val="Case Social Worker.Manager"/>
      <sheetName val="Clinical"/>
      <sheetName val="Nursing"/>
      <sheetName val="Management"/>
      <sheetName val="02021 53_PCT"/>
      <sheetName val="Therapies"/>
    </sheetNames>
    <sheetDataSet>
      <sheetData sheetId="0"/>
      <sheetData sheetId="1"/>
      <sheetData sheetId="2"/>
      <sheetData sheetId="3"/>
      <sheetData sheetId="4">
        <row r="6">
          <cell r="J6">
            <v>19.000800000000002</v>
          </cell>
        </row>
        <row r="10">
          <cell r="J10">
            <v>18.008399999999998</v>
          </cell>
        </row>
        <row r="19">
          <cell r="J19">
            <v>24.241120000000002</v>
          </cell>
        </row>
      </sheetData>
      <sheetData sheetId="5">
        <row r="4">
          <cell r="J4">
            <v>24.3888</v>
          </cell>
        </row>
        <row r="11">
          <cell r="J11">
            <v>30.569499999999998</v>
          </cell>
        </row>
      </sheetData>
      <sheetData sheetId="6">
        <row r="6">
          <cell r="J6">
            <v>35.178200000000004</v>
          </cell>
        </row>
        <row r="12">
          <cell r="J12">
            <v>43.1312</v>
          </cell>
        </row>
      </sheetData>
      <sheetData sheetId="7">
        <row r="2">
          <cell r="J2">
            <v>29.084</v>
          </cell>
        </row>
        <row r="6">
          <cell r="J6">
            <v>47.109200000000001</v>
          </cell>
        </row>
        <row r="11">
          <cell r="J11">
            <v>62.008800000000001</v>
          </cell>
        </row>
      </sheetData>
      <sheetData sheetId="8">
        <row r="2">
          <cell r="J2">
            <v>35.084000000000003</v>
          </cell>
        </row>
      </sheetData>
      <sheetData sheetId="9">
        <row r="34">
          <cell r="N34">
            <v>133902.08000000002</v>
          </cell>
        </row>
      </sheetData>
      <sheetData sheetId="10">
        <row r="2">
          <cell r="M2">
            <v>30.937200000000001</v>
          </cell>
        </row>
        <row r="8">
          <cell r="M8">
            <v>38.650100000000002</v>
          </cell>
        </row>
        <row r="14">
          <cell r="M14">
            <v>40.563600000000001</v>
          </cell>
        </row>
        <row r="18">
          <cell r="M18">
            <v>43.066240000000008</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Percentile Scale"/>
      <sheetName val="Field Descriptions"/>
      <sheetName val="UpdateTime"/>
      <sheetName val="Filler"/>
      <sheetName val="M2023 BLS SALARY CHART (53r (2)"/>
    </sheetNames>
    <sheetDataSet>
      <sheetData sheetId="0">
        <row r="409">
          <cell r="O409">
            <v>21.561199999999999</v>
          </cell>
        </row>
        <row r="609">
          <cell r="O609">
            <v>24.7028</v>
          </cell>
        </row>
      </sheetData>
      <sheetData sheetId="1"/>
      <sheetData sheetId="2"/>
      <sheetData sheetId="3"/>
      <sheetData sheetId="4">
        <row r="8">
          <cell r="F8">
            <v>20.324999999999999</v>
          </cell>
          <cell r="I8">
            <v>20.792100000000001</v>
          </cell>
        </row>
        <row r="13">
          <cell r="I13">
            <v>21.417999999999999</v>
          </cell>
          <cell r="J13">
            <v>44549.439999999995</v>
          </cell>
        </row>
        <row r="21">
          <cell r="I21">
            <v>27.027519999999999</v>
          </cell>
        </row>
      </sheetData>
      <sheetData sheetId="5">
        <row r="6">
          <cell r="G6">
            <v>30.155000000000001</v>
          </cell>
          <cell r="J6">
            <v>30.979999999999997</v>
          </cell>
        </row>
        <row r="13">
          <cell r="J13">
            <v>33.755499999999998</v>
          </cell>
        </row>
      </sheetData>
      <sheetData sheetId="6">
        <row r="8">
          <cell r="G8">
            <v>38.962499999999999</v>
          </cell>
          <cell r="J8">
            <v>40.211399999999998</v>
          </cell>
        </row>
        <row r="14">
          <cell r="J14">
            <v>48.945399999999999</v>
          </cell>
        </row>
      </sheetData>
      <sheetData sheetId="7">
        <row r="4">
          <cell r="G4">
            <v>35.28</v>
          </cell>
          <cell r="J4">
            <v>35.506799999999998</v>
          </cell>
        </row>
        <row r="8">
          <cell r="J8">
            <v>49.818400000000004</v>
          </cell>
        </row>
        <row r="13">
          <cell r="J13">
            <v>67.710800000000006</v>
          </cell>
        </row>
      </sheetData>
      <sheetData sheetId="8">
        <row r="4">
          <cell r="G4">
            <v>37.729999999999997</v>
          </cell>
          <cell r="J4">
            <v>38.860399999999998</v>
          </cell>
        </row>
      </sheetData>
      <sheetData sheetId="9">
        <row r="5">
          <cell r="E5">
            <v>36.04</v>
          </cell>
          <cell r="I5">
            <v>36.818800000000003</v>
          </cell>
        </row>
        <row r="11">
          <cell r="I11">
            <v>39.750500000000002</v>
          </cell>
        </row>
        <row r="17">
          <cell r="I17">
            <v>42.784640000000003</v>
          </cell>
        </row>
        <row r="21">
          <cell r="I21">
            <v>44.301760000000002</v>
          </cell>
        </row>
      </sheetData>
      <sheetData sheetId="10"/>
      <sheetData sheetId="11"/>
      <sheetData sheetId="12"/>
      <sheetData sheetId="13"/>
      <sheetData sheetId="14"/>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FALL 2022"/>
      <sheetName val="M2021 BLS  SALARY CHART"/>
      <sheetName val="PACT 50 Rate"/>
      <sheetName val="Clean Data FY21"/>
      <sheetName val="M2021 BLS SALARY CHART (53_PCT)"/>
      <sheetName val="Below the line FY21"/>
      <sheetName val="PACT 50 Rate Budget (FOIA)"/>
      <sheetName val="PACT 50 Rate Budget"/>
      <sheetName val="PACT 80 Rate Budget (FOIA)"/>
      <sheetName val="PACT 80 Rate Budget"/>
      <sheetName val="PACT 80 Rate"/>
      <sheetName val="Forensic PACT Rate Budget(FOIA)"/>
      <sheetName val="Forensic PACT Rate Budget"/>
      <sheetName val="Forensic PACT Rate"/>
      <sheetName val="Forensic GLE Budget (FOIA)"/>
      <sheetName val="Forensic GLE Budget"/>
      <sheetName val="FY18 UFR Pivot"/>
      <sheetName val="Salary"/>
      <sheetName val="Spring 2016 Forecast"/>
      <sheetName val="Occupancy FY14 FY15"/>
      <sheetName val="FY14-15 UFR Pivot"/>
      <sheetName val="CAF Fall 2018"/>
      <sheetName val="ActivityCodeReport"/>
      <sheetName val="Other Expenses FY21 Pivot"/>
      <sheetName val="Occupancy FY21"/>
      <sheetName val="Food February 2022"/>
      <sheetName val="FY19 UFR Clean Data"/>
      <sheetName val="Occupancy FY19"/>
      <sheetName val="Other Expenses FY19 Pivot"/>
      <sheetName val="Fiscal Impact FY22"/>
      <sheetName val="Sheet1"/>
    </sheetNames>
    <sheetDataSet>
      <sheetData sheetId="0"/>
      <sheetData sheetId="1">
        <row r="41">
          <cell r="D41">
            <v>0.12</v>
          </cell>
        </row>
      </sheetData>
      <sheetData sheetId="2"/>
      <sheetData sheetId="3"/>
      <sheetData sheetId="4"/>
      <sheetData sheetId="5"/>
      <sheetData sheetId="6"/>
      <sheetData sheetId="7"/>
      <sheetData sheetId="8"/>
      <sheetData sheetId="9"/>
      <sheetData sheetId="10"/>
      <sheetData sheetId="11"/>
      <sheetData sheetId="12"/>
      <sheetData sheetId="13"/>
      <sheetData sheetId="14">
        <row r="6">
          <cell r="J6">
            <v>396075.39379200002</v>
          </cell>
        </row>
      </sheetData>
      <sheetData sheetId="15"/>
      <sheetData sheetId="16"/>
      <sheetData sheetId="17"/>
      <sheetData sheetId="18"/>
      <sheetData sheetId="19"/>
      <sheetData sheetId="20"/>
      <sheetData sheetId="21"/>
      <sheetData sheetId="22"/>
      <sheetData sheetId="23">
        <row r="6">
          <cell r="J6">
            <v>3112.8100488713808</v>
          </cell>
        </row>
      </sheetData>
      <sheetData sheetId="24">
        <row r="30">
          <cell r="E30">
            <v>9608.0258104685399</v>
          </cell>
        </row>
      </sheetData>
      <sheetData sheetId="25">
        <row r="19">
          <cell r="K19">
            <v>9.1511904761904752</v>
          </cell>
        </row>
      </sheetData>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od Calculation 2014"/>
      <sheetName val="Food August 2019"/>
      <sheetName val="Food November 2020"/>
      <sheetName val="Food February 2023"/>
      <sheetName val="Food November 2024"/>
      <sheetName val="Sheet1"/>
    </sheetNames>
    <sheetDataSet>
      <sheetData sheetId="0"/>
      <sheetData sheetId="1"/>
      <sheetData sheetId="2"/>
      <sheetData sheetId="3"/>
      <sheetData sheetId="4">
        <row r="19">
          <cell r="K19">
            <v>10.130952380952381</v>
          </cell>
        </row>
      </sheetData>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FALL 2022"/>
      <sheetName val="M2021 BLS SALARY CHART (53_PCT)"/>
      <sheetName val="PACT Youth"/>
      <sheetName val="Pact-Youth FY24 (FOIA)"/>
      <sheetName val="M2020 BLS  SALARY CHART"/>
    </sheetNames>
    <sheetDataSet>
      <sheetData sheetId="0">
        <row r="26">
          <cell r="CK26">
            <v>2.7811565914169036E-2</v>
          </cell>
        </row>
      </sheetData>
      <sheetData sheetId="1">
        <row r="6">
          <cell r="C6">
            <v>39521.664000000004</v>
          </cell>
        </row>
        <row r="34">
          <cell r="C34">
            <v>128978.304</v>
          </cell>
        </row>
        <row r="44">
          <cell r="C44">
            <v>247150</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69">
          <cell r="L69">
            <v>0</v>
          </cell>
        </row>
      </sheetData>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Calc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new CAF"/>
      <sheetName val="for pres"/>
      <sheetName val="Source"/>
      <sheetName val="Sheet1"/>
      <sheetName val="Sheet2"/>
      <sheetName val="Sheet3"/>
    </sheetNames>
    <sheetDataSet>
      <sheetData sheetId="0">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row>
      </sheetData>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40CC5-8479-4A75-8E46-9B1D6CAF5C6F}">
  <dimension ref="A1:CT27"/>
  <sheetViews>
    <sheetView topLeftCell="BJ1" workbookViewId="0">
      <selection activeCell="BQ40" sqref="BQ40"/>
    </sheetView>
  </sheetViews>
  <sheetFormatPr defaultRowHeight="12.75"/>
  <cols>
    <col min="1" max="1" width="38.42578125" style="1" customWidth="1"/>
    <col min="2" max="2" width="12.85546875" style="6" customWidth="1"/>
    <col min="3" max="82" width="7.7109375" style="1" customWidth="1"/>
    <col min="83" max="256" width="8.7109375" style="1"/>
    <col min="257" max="257" width="38.42578125" style="1" customWidth="1"/>
    <col min="258" max="258" width="12.85546875" style="1" customWidth="1"/>
    <col min="259" max="338" width="7.7109375" style="1" customWidth="1"/>
    <col min="339" max="512" width="8.7109375" style="1"/>
    <col min="513" max="513" width="38.42578125" style="1" customWidth="1"/>
    <col min="514" max="514" width="12.85546875" style="1" customWidth="1"/>
    <col min="515" max="594" width="7.7109375" style="1" customWidth="1"/>
    <col min="595" max="768" width="8.7109375" style="1"/>
    <col min="769" max="769" width="38.42578125" style="1" customWidth="1"/>
    <col min="770" max="770" width="12.85546875" style="1" customWidth="1"/>
    <col min="771" max="850" width="7.7109375" style="1" customWidth="1"/>
    <col min="851" max="1024" width="8.7109375" style="1"/>
    <col min="1025" max="1025" width="38.42578125" style="1" customWidth="1"/>
    <col min="1026" max="1026" width="12.85546875" style="1" customWidth="1"/>
    <col min="1027" max="1106" width="7.7109375" style="1" customWidth="1"/>
    <col min="1107" max="1280" width="8.7109375" style="1"/>
    <col min="1281" max="1281" width="38.42578125" style="1" customWidth="1"/>
    <col min="1282" max="1282" width="12.85546875" style="1" customWidth="1"/>
    <col min="1283" max="1362" width="7.7109375" style="1" customWidth="1"/>
    <col min="1363" max="1536" width="8.7109375" style="1"/>
    <col min="1537" max="1537" width="38.42578125" style="1" customWidth="1"/>
    <col min="1538" max="1538" width="12.85546875" style="1" customWidth="1"/>
    <col min="1539" max="1618" width="7.7109375" style="1" customWidth="1"/>
    <col min="1619" max="1792" width="8.7109375" style="1"/>
    <col min="1793" max="1793" width="38.42578125" style="1" customWidth="1"/>
    <col min="1794" max="1794" width="12.85546875" style="1" customWidth="1"/>
    <col min="1795" max="1874" width="7.7109375" style="1" customWidth="1"/>
    <col min="1875" max="2048" width="8.7109375" style="1"/>
    <col min="2049" max="2049" width="38.42578125" style="1" customWidth="1"/>
    <col min="2050" max="2050" width="12.85546875" style="1" customWidth="1"/>
    <col min="2051" max="2130" width="7.7109375" style="1" customWidth="1"/>
    <col min="2131" max="2304" width="8.7109375" style="1"/>
    <col min="2305" max="2305" width="38.42578125" style="1" customWidth="1"/>
    <col min="2306" max="2306" width="12.85546875" style="1" customWidth="1"/>
    <col min="2307" max="2386" width="7.7109375" style="1" customWidth="1"/>
    <col min="2387" max="2560" width="8.7109375" style="1"/>
    <col min="2561" max="2561" width="38.42578125" style="1" customWidth="1"/>
    <col min="2562" max="2562" width="12.85546875" style="1" customWidth="1"/>
    <col min="2563" max="2642" width="7.7109375" style="1" customWidth="1"/>
    <col min="2643" max="2816" width="8.7109375" style="1"/>
    <col min="2817" max="2817" width="38.42578125" style="1" customWidth="1"/>
    <col min="2818" max="2818" width="12.85546875" style="1" customWidth="1"/>
    <col min="2819" max="2898" width="7.7109375" style="1" customWidth="1"/>
    <col min="2899" max="3072" width="8.7109375" style="1"/>
    <col min="3073" max="3073" width="38.42578125" style="1" customWidth="1"/>
    <col min="3074" max="3074" width="12.85546875" style="1" customWidth="1"/>
    <col min="3075" max="3154" width="7.7109375" style="1" customWidth="1"/>
    <col min="3155" max="3328" width="8.7109375" style="1"/>
    <col min="3329" max="3329" width="38.42578125" style="1" customWidth="1"/>
    <col min="3330" max="3330" width="12.85546875" style="1" customWidth="1"/>
    <col min="3331" max="3410" width="7.7109375" style="1" customWidth="1"/>
    <col min="3411" max="3584" width="8.7109375" style="1"/>
    <col min="3585" max="3585" width="38.42578125" style="1" customWidth="1"/>
    <col min="3586" max="3586" width="12.85546875" style="1" customWidth="1"/>
    <col min="3587" max="3666" width="7.7109375" style="1" customWidth="1"/>
    <col min="3667" max="3840" width="8.7109375" style="1"/>
    <col min="3841" max="3841" width="38.42578125" style="1" customWidth="1"/>
    <col min="3842" max="3842" width="12.85546875" style="1" customWidth="1"/>
    <col min="3843" max="3922" width="7.7109375" style="1" customWidth="1"/>
    <col min="3923" max="4096" width="8.7109375" style="1"/>
    <col min="4097" max="4097" width="38.42578125" style="1" customWidth="1"/>
    <col min="4098" max="4098" width="12.85546875" style="1" customWidth="1"/>
    <col min="4099" max="4178" width="7.7109375" style="1" customWidth="1"/>
    <col min="4179" max="4352" width="8.7109375" style="1"/>
    <col min="4353" max="4353" width="38.42578125" style="1" customWidth="1"/>
    <col min="4354" max="4354" width="12.85546875" style="1" customWidth="1"/>
    <col min="4355" max="4434" width="7.7109375" style="1" customWidth="1"/>
    <col min="4435" max="4608" width="8.7109375" style="1"/>
    <col min="4609" max="4609" width="38.42578125" style="1" customWidth="1"/>
    <col min="4610" max="4610" width="12.85546875" style="1" customWidth="1"/>
    <col min="4611" max="4690" width="7.7109375" style="1" customWidth="1"/>
    <col min="4691" max="4864" width="8.7109375" style="1"/>
    <col min="4865" max="4865" width="38.42578125" style="1" customWidth="1"/>
    <col min="4866" max="4866" width="12.85546875" style="1" customWidth="1"/>
    <col min="4867" max="4946" width="7.7109375" style="1" customWidth="1"/>
    <col min="4947" max="5120" width="8.7109375" style="1"/>
    <col min="5121" max="5121" width="38.42578125" style="1" customWidth="1"/>
    <col min="5122" max="5122" width="12.85546875" style="1" customWidth="1"/>
    <col min="5123" max="5202" width="7.7109375" style="1" customWidth="1"/>
    <col min="5203" max="5376" width="8.7109375" style="1"/>
    <col min="5377" max="5377" width="38.42578125" style="1" customWidth="1"/>
    <col min="5378" max="5378" width="12.85546875" style="1" customWidth="1"/>
    <col min="5379" max="5458" width="7.7109375" style="1" customWidth="1"/>
    <col min="5459" max="5632" width="8.7109375" style="1"/>
    <col min="5633" max="5633" width="38.42578125" style="1" customWidth="1"/>
    <col min="5634" max="5634" width="12.85546875" style="1" customWidth="1"/>
    <col min="5635" max="5714" width="7.7109375" style="1" customWidth="1"/>
    <col min="5715" max="5888" width="8.7109375" style="1"/>
    <col min="5889" max="5889" width="38.42578125" style="1" customWidth="1"/>
    <col min="5890" max="5890" width="12.85546875" style="1" customWidth="1"/>
    <col min="5891" max="5970" width="7.7109375" style="1" customWidth="1"/>
    <col min="5971" max="6144" width="8.7109375" style="1"/>
    <col min="6145" max="6145" width="38.42578125" style="1" customWidth="1"/>
    <col min="6146" max="6146" width="12.85546875" style="1" customWidth="1"/>
    <col min="6147" max="6226" width="7.7109375" style="1" customWidth="1"/>
    <col min="6227" max="6400" width="8.7109375" style="1"/>
    <col min="6401" max="6401" width="38.42578125" style="1" customWidth="1"/>
    <col min="6402" max="6402" width="12.85546875" style="1" customWidth="1"/>
    <col min="6403" max="6482" width="7.7109375" style="1" customWidth="1"/>
    <col min="6483" max="6656" width="8.7109375" style="1"/>
    <col min="6657" max="6657" width="38.42578125" style="1" customWidth="1"/>
    <col min="6658" max="6658" width="12.85546875" style="1" customWidth="1"/>
    <col min="6659" max="6738" width="7.7109375" style="1" customWidth="1"/>
    <col min="6739" max="6912" width="8.7109375" style="1"/>
    <col min="6913" max="6913" width="38.42578125" style="1" customWidth="1"/>
    <col min="6914" max="6914" width="12.85546875" style="1" customWidth="1"/>
    <col min="6915" max="6994" width="7.7109375" style="1" customWidth="1"/>
    <col min="6995" max="7168" width="8.7109375" style="1"/>
    <col min="7169" max="7169" width="38.42578125" style="1" customWidth="1"/>
    <col min="7170" max="7170" width="12.85546875" style="1" customWidth="1"/>
    <col min="7171" max="7250" width="7.7109375" style="1" customWidth="1"/>
    <col min="7251" max="7424" width="8.7109375" style="1"/>
    <col min="7425" max="7425" width="38.42578125" style="1" customWidth="1"/>
    <col min="7426" max="7426" width="12.85546875" style="1" customWidth="1"/>
    <col min="7427" max="7506" width="7.7109375" style="1" customWidth="1"/>
    <col min="7507" max="7680" width="8.7109375" style="1"/>
    <col min="7681" max="7681" width="38.42578125" style="1" customWidth="1"/>
    <col min="7682" max="7682" width="12.85546875" style="1" customWidth="1"/>
    <col min="7683" max="7762" width="7.7109375" style="1" customWidth="1"/>
    <col min="7763" max="7936" width="8.7109375" style="1"/>
    <col min="7937" max="7937" width="38.42578125" style="1" customWidth="1"/>
    <col min="7938" max="7938" width="12.85546875" style="1" customWidth="1"/>
    <col min="7939" max="8018" width="7.7109375" style="1" customWidth="1"/>
    <col min="8019" max="8192" width="8.7109375" style="1"/>
    <col min="8193" max="8193" width="38.42578125" style="1" customWidth="1"/>
    <col min="8194" max="8194" width="12.85546875" style="1" customWidth="1"/>
    <col min="8195" max="8274" width="7.7109375" style="1" customWidth="1"/>
    <col min="8275" max="8448" width="8.7109375" style="1"/>
    <col min="8449" max="8449" width="38.42578125" style="1" customWidth="1"/>
    <col min="8450" max="8450" width="12.85546875" style="1" customWidth="1"/>
    <col min="8451" max="8530" width="7.7109375" style="1" customWidth="1"/>
    <col min="8531" max="8704" width="8.7109375" style="1"/>
    <col min="8705" max="8705" width="38.42578125" style="1" customWidth="1"/>
    <col min="8706" max="8706" width="12.85546875" style="1" customWidth="1"/>
    <col min="8707" max="8786" width="7.7109375" style="1" customWidth="1"/>
    <col min="8787" max="8960" width="8.7109375" style="1"/>
    <col min="8961" max="8961" width="38.42578125" style="1" customWidth="1"/>
    <col min="8962" max="8962" width="12.85546875" style="1" customWidth="1"/>
    <col min="8963" max="9042" width="7.7109375" style="1" customWidth="1"/>
    <col min="9043" max="9216" width="8.7109375" style="1"/>
    <col min="9217" max="9217" width="38.42578125" style="1" customWidth="1"/>
    <col min="9218" max="9218" width="12.85546875" style="1" customWidth="1"/>
    <col min="9219" max="9298" width="7.7109375" style="1" customWidth="1"/>
    <col min="9299" max="9472" width="8.7109375" style="1"/>
    <col min="9473" max="9473" width="38.42578125" style="1" customWidth="1"/>
    <col min="9474" max="9474" width="12.85546875" style="1" customWidth="1"/>
    <col min="9475" max="9554" width="7.7109375" style="1" customWidth="1"/>
    <col min="9555" max="9728" width="8.7109375" style="1"/>
    <col min="9729" max="9729" width="38.42578125" style="1" customWidth="1"/>
    <col min="9730" max="9730" width="12.85546875" style="1" customWidth="1"/>
    <col min="9731" max="9810" width="7.7109375" style="1" customWidth="1"/>
    <col min="9811" max="9984" width="8.7109375" style="1"/>
    <col min="9985" max="9985" width="38.42578125" style="1" customWidth="1"/>
    <col min="9986" max="9986" width="12.85546875" style="1" customWidth="1"/>
    <col min="9987" max="10066" width="7.7109375" style="1" customWidth="1"/>
    <col min="10067" max="10240" width="8.7109375" style="1"/>
    <col min="10241" max="10241" width="38.42578125" style="1" customWidth="1"/>
    <col min="10242" max="10242" width="12.85546875" style="1" customWidth="1"/>
    <col min="10243" max="10322" width="7.7109375" style="1" customWidth="1"/>
    <col min="10323" max="10496" width="8.7109375" style="1"/>
    <col min="10497" max="10497" width="38.42578125" style="1" customWidth="1"/>
    <col min="10498" max="10498" width="12.85546875" style="1" customWidth="1"/>
    <col min="10499" max="10578" width="7.7109375" style="1" customWidth="1"/>
    <col min="10579" max="10752" width="8.7109375" style="1"/>
    <col min="10753" max="10753" width="38.42578125" style="1" customWidth="1"/>
    <col min="10754" max="10754" width="12.85546875" style="1" customWidth="1"/>
    <col min="10755" max="10834" width="7.7109375" style="1" customWidth="1"/>
    <col min="10835" max="11008" width="8.7109375" style="1"/>
    <col min="11009" max="11009" width="38.42578125" style="1" customWidth="1"/>
    <col min="11010" max="11010" width="12.85546875" style="1" customWidth="1"/>
    <col min="11011" max="11090" width="7.7109375" style="1" customWidth="1"/>
    <col min="11091" max="11264" width="8.7109375" style="1"/>
    <col min="11265" max="11265" width="38.42578125" style="1" customWidth="1"/>
    <col min="11266" max="11266" width="12.85546875" style="1" customWidth="1"/>
    <col min="11267" max="11346" width="7.7109375" style="1" customWidth="1"/>
    <col min="11347" max="11520" width="8.7109375" style="1"/>
    <col min="11521" max="11521" width="38.42578125" style="1" customWidth="1"/>
    <col min="11522" max="11522" width="12.85546875" style="1" customWidth="1"/>
    <col min="11523" max="11602" width="7.7109375" style="1" customWidth="1"/>
    <col min="11603" max="11776" width="8.7109375" style="1"/>
    <col min="11777" max="11777" width="38.42578125" style="1" customWidth="1"/>
    <col min="11778" max="11778" width="12.85546875" style="1" customWidth="1"/>
    <col min="11779" max="11858" width="7.7109375" style="1" customWidth="1"/>
    <col min="11859" max="12032" width="8.7109375" style="1"/>
    <col min="12033" max="12033" width="38.42578125" style="1" customWidth="1"/>
    <col min="12034" max="12034" width="12.85546875" style="1" customWidth="1"/>
    <col min="12035" max="12114" width="7.7109375" style="1" customWidth="1"/>
    <col min="12115" max="12288" width="8.7109375" style="1"/>
    <col min="12289" max="12289" width="38.42578125" style="1" customWidth="1"/>
    <col min="12290" max="12290" width="12.85546875" style="1" customWidth="1"/>
    <col min="12291" max="12370" width="7.7109375" style="1" customWidth="1"/>
    <col min="12371" max="12544" width="8.7109375" style="1"/>
    <col min="12545" max="12545" width="38.42578125" style="1" customWidth="1"/>
    <col min="12546" max="12546" width="12.85546875" style="1" customWidth="1"/>
    <col min="12547" max="12626" width="7.7109375" style="1" customWidth="1"/>
    <col min="12627" max="12800" width="8.7109375" style="1"/>
    <col min="12801" max="12801" width="38.42578125" style="1" customWidth="1"/>
    <col min="12802" max="12802" width="12.85546875" style="1" customWidth="1"/>
    <col min="12803" max="12882" width="7.7109375" style="1" customWidth="1"/>
    <col min="12883" max="13056" width="8.7109375" style="1"/>
    <col min="13057" max="13057" width="38.42578125" style="1" customWidth="1"/>
    <col min="13058" max="13058" width="12.85546875" style="1" customWidth="1"/>
    <col min="13059" max="13138" width="7.7109375" style="1" customWidth="1"/>
    <col min="13139" max="13312" width="8.7109375" style="1"/>
    <col min="13313" max="13313" width="38.42578125" style="1" customWidth="1"/>
    <col min="13314" max="13314" width="12.85546875" style="1" customWidth="1"/>
    <col min="13315" max="13394" width="7.7109375" style="1" customWidth="1"/>
    <col min="13395" max="13568" width="8.7109375" style="1"/>
    <col min="13569" max="13569" width="38.42578125" style="1" customWidth="1"/>
    <col min="13570" max="13570" width="12.85546875" style="1" customWidth="1"/>
    <col min="13571" max="13650" width="7.7109375" style="1" customWidth="1"/>
    <col min="13651" max="13824" width="8.7109375" style="1"/>
    <col min="13825" max="13825" width="38.42578125" style="1" customWidth="1"/>
    <col min="13826" max="13826" width="12.85546875" style="1" customWidth="1"/>
    <col min="13827" max="13906" width="7.7109375" style="1" customWidth="1"/>
    <col min="13907" max="14080" width="8.7109375" style="1"/>
    <col min="14081" max="14081" width="38.42578125" style="1" customWidth="1"/>
    <col min="14082" max="14082" width="12.85546875" style="1" customWidth="1"/>
    <col min="14083" max="14162" width="7.7109375" style="1" customWidth="1"/>
    <col min="14163" max="14336" width="8.7109375" style="1"/>
    <col min="14337" max="14337" width="38.42578125" style="1" customWidth="1"/>
    <col min="14338" max="14338" width="12.85546875" style="1" customWidth="1"/>
    <col min="14339" max="14418" width="7.7109375" style="1" customWidth="1"/>
    <col min="14419" max="14592" width="8.7109375" style="1"/>
    <col min="14593" max="14593" width="38.42578125" style="1" customWidth="1"/>
    <col min="14594" max="14594" width="12.85546875" style="1" customWidth="1"/>
    <col min="14595" max="14674" width="7.7109375" style="1" customWidth="1"/>
    <col min="14675" max="14848" width="8.7109375" style="1"/>
    <col min="14849" max="14849" width="38.42578125" style="1" customWidth="1"/>
    <col min="14850" max="14850" width="12.85546875" style="1" customWidth="1"/>
    <col min="14851" max="14930" width="7.7109375" style="1" customWidth="1"/>
    <col min="14931" max="15104" width="8.7109375" style="1"/>
    <col min="15105" max="15105" width="38.42578125" style="1" customWidth="1"/>
    <col min="15106" max="15106" width="12.85546875" style="1" customWidth="1"/>
    <col min="15107" max="15186" width="7.7109375" style="1" customWidth="1"/>
    <col min="15187" max="15360" width="8.7109375" style="1"/>
    <col min="15361" max="15361" width="38.42578125" style="1" customWidth="1"/>
    <col min="15362" max="15362" width="12.85546875" style="1" customWidth="1"/>
    <col min="15363" max="15442" width="7.7109375" style="1" customWidth="1"/>
    <col min="15443" max="15616" width="8.7109375" style="1"/>
    <col min="15617" max="15617" width="38.42578125" style="1" customWidth="1"/>
    <col min="15618" max="15618" width="12.85546875" style="1" customWidth="1"/>
    <col min="15619" max="15698" width="7.7109375" style="1" customWidth="1"/>
    <col min="15699" max="15872" width="8.7109375" style="1"/>
    <col min="15873" max="15873" width="38.42578125" style="1" customWidth="1"/>
    <col min="15874" max="15874" width="12.85546875" style="1" customWidth="1"/>
    <col min="15875" max="15954" width="7.7109375" style="1" customWidth="1"/>
    <col min="15955" max="16128" width="8.7109375" style="1"/>
    <col min="16129" max="16129" width="38.42578125" style="1" customWidth="1"/>
    <col min="16130" max="16130" width="12.85546875" style="1" customWidth="1"/>
    <col min="16131" max="16210" width="7.7109375" style="1" customWidth="1"/>
    <col min="16211" max="16384" width="8.7109375" style="1"/>
  </cols>
  <sheetData>
    <row r="1" spans="1:98" ht="18">
      <c r="A1" s="747" t="s">
        <v>0</v>
      </c>
      <c r="B1" s="748"/>
    </row>
    <row r="2" spans="1:98" ht="15.75">
      <c r="A2" s="2" t="s">
        <v>1</v>
      </c>
      <c r="B2" s="3"/>
    </row>
    <row r="3" spans="1:98" ht="15.75" thickBot="1">
      <c r="A3" s="4" t="s">
        <v>2</v>
      </c>
      <c r="B3" s="5"/>
    </row>
    <row r="5" spans="1:98">
      <c r="CA5" s="1" t="s">
        <v>3</v>
      </c>
      <c r="CB5" s="1" t="s">
        <v>4</v>
      </c>
      <c r="CC5" s="1" t="s">
        <v>5</v>
      </c>
      <c r="CD5" s="1" t="s">
        <v>6</v>
      </c>
    </row>
    <row r="6" spans="1:98">
      <c r="BQ6" s="7" t="s">
        <v>7</v>
      </c>
      <c r="BR6" s="7" t="s">
        <v>7</v>
      </c>
      <c r="BS6" s="7" t="s">
        <v>7</v>
      </c>
      <c r="BT6" s="7" t="s">
        <v>7</v>
      </c>
      <c r="BU6" s="8" t="s">
        <v>8</v>
      </c>
      <c r="BV6" s="8" t="s">
        <v>8</v>
      </c>
      <c r="BW6" s="8" t="s">
        <v>8</v>
      </c>
      <c r="BX6" s="8" t="s">
        <v>8</v>
      </c>
      <c r="BY6" s="9" t="s">
        <v>9</v>
      </c>
      <c r="BZ6" s="9" t="s">
        <v>9</v>
      </c>
      <c r="CA6" s="9" t="s">
        <v>9</v>
      </c>
      <c r="CB6" s="9" t="s">
        <v>9</v>
      </c>
      <c r="CC6" s="10" t="s">
        <v>10</v>
      </c>
      <c r="CD6" s="10" t="s">
        <v>10</v>
      </c>
      <c r="CE6" s="10" t="s">
        <v>10</v>
      </c>
      <c r="CF6" s="10" t="s">
        <v>10</v>
      </c>
      <c r="CG6" s="11" t="s">
        <v>11</v>
      </c>
      <c r="CH6" s="11" t="s">
        <v>11</v>
      </c>
      <c r="CI6" s="11" t="s">
        <v>11</v>
      </c>
      <c r="CJ6" s="11" t="s">
        <v>11</v>
      </c>
    </row>
    <row r="7" spans="1:98" s="6" customFormat="1">
      <c r="B7" s="6" t="s">
        <v>12</v>
      </c>
      <c r="C7" s="12" t="s">
        <v>13</v>
      </c>
      <c r="D7" s="12" t="s">
        <v>14</v>
      </c>
      <c r="E7" s="12" t="s">
        <v>15</v>
      </c>
      <c r="F7" s="12" t="s">
        <v>16</v>
      </c>
      <c r="G7" s="12" t="s">
        <v>17</v>
      </c>
      <c r="H7" s="12" t="s">
        <v>18</v>
      </c>
      <c r="I7" s="12" t="s">
        <v>19</v>
      </c>
      <c r="J7" s="12" t="s">
        <v>20</v>
      </c>
      <c r="K7" s="12" t="s">
        <v>21</v>
      </c>
      <c r="L7" s="12" t="s">
        <v>22</v>
      </c>
      <c r="M7" s="12" t="s">
        <v>23</v>
      </c>
      <c r="N7" s="12" t="s">
        <v>24</v>
      </c>
      <c r="O7" s="12" t="s">
        <v>25</v>
      </c>
      <c r="P7" s="12" t="s">
        <v>26</v>
      </c>
      <c r="Q7" s="12" t="s">
        <v>27</v>
      </c>
      <c r="R7" s="12" t="s">
        <v>28</v>
      </c>
      <c r="S7" s="12" t="s">
        <v>29</v>
      </c>
      <c r="T7" s="12" t="s">
        <v>30</v>
      </c>
      <c r="U7" s="12" t="s">
        <v>31</v>
      </c>
      <c r="V7" s="12" t="s">
        <v>32</v>
      </c>
      <c r="W7" s="12" t="s">
        <v>33</v>
      </c>
      <c r="X7" s="12" t="s">
        <v>34</v>
      </c>
      <c r="Y7" s="12" t="s">
        <v>35</v>
      </c>
      <c r="Z7" s="12" t="s">
        <v>36</v>
      </c>
      <c r="AA7" s="12" t="s">
        <v>37</v>
      </c>
      <c r="AB7" s="12" t="s">
        <v>38</v>
      </c>
      <c r="AC7" s="12" t="s">
        <v>39</v>
      </c>
      <c r="AD7" s="12" t="s">
        <v>40</v>
      </c>
      <c r="AE7" s="12" t="s">
        <v>41</v>
      </c>
      <c r="AF7" s="12" t="s">
        <v>42</v>
      </c>
      <c r="AG7" s="12" t="s">
        <v>43</v>
      </c>
      <c r="AH7" s="12" t="s">
        <v>44</v>
      </c>
      <c r="AI7" s="12" t="s">
        <v>45</v>
      </c>
      <c r="AJ7" s="12" t="s">
        <v>46</v>
      </c>
      <c r="AK7" s="12" t="s">
        <v>47</v>
      </c>
      <c r="AL7" s="12" t="s">
        <v>48</v>
      </c>
      <c r="AM7" s="12" t="s">
        <v>49</v>
      </c>
      <c r="AN7" s="12" t="s">
        <v>50</v>
      </c>
      <c r="AO7" s="12" t="s">
        <v>51</v>
      </c>
      <c r="AP7" s="12" t="s">
        <v>52</v>
      </c>
      <c r="AQ7" s="12" t="s">
        <v>53</v>
      </c>
      <c r="AR7" s="12" t="s">
        <v>54</v>
      </c>
      <c r="AS7" s="12" t="s">
        <v>55</v>
      </c>
      <c r="AT7" s="12" t="s">
        <v>56</v>
      </c>
      <c r="AU7" s="6" t="s">
        <v>57</v>
      </c>
      <c r="AV7" s="6" t="s">
        <v>58</v>
      </c>
      <c r="AW7" s="6" t="s">
        <v>59</v>
      </c>
      <c r="AX7" s="6" t="s">
        <v>60</v>
      </c>
      <c r="AY7" s="6" t="s">
        <v>61</v>
      </c>
      <c r="AZ7" s="6" t="s">
        <v>62</v>
      </c>
      <c r="BA7" s="6" t="s">
        <v>63</v>
      </c>
      <c r="BB7" s="6" t="s">
        <v>64</v>
      </c>
      <c r="BC7" s="6" t="s">
        <v>65</v>
      </c>
      <c r="BD7" s="6" t="s">
        <v>66</v>
      </c>
      <c r="BE7" s="6" t="s">
        <v>67</v>
      </c>
      <c r="BF7" s="6" t="s">
        <v>68</v>
      </c>
      <c r="BG7" s="6" t="s">
        <v>69</v>
      </c>
      <c r="BH7" s="6" t="s">
        <v>70</v>
      </c>
      <c r="BI7" s="6" t="s">
        <v>71</v>
      </c>
      <c r="BJ7" s="6" t="s">
        <v>72</v>
      </c>
      <c r="BK7" s="6" t="s">
        <v>73</v>
      </c>
      <c r="BL7" s="6" t="s">
        <v>74</v>
      </c>
      <c r="BM7" s="6" t="s">
        <v>75</v>
      </c>
      <c r="BN7" s="6" t="s">
        <v>76</v>
      </c>
      <c r="BO7" s="6" t="s">
        <v>77</v>
      </c>
      <c r="BP7" s="6" t="s">
        <v>78</v>
      </c>
      <c r="BQ7" s="6" t="s">
        <v>79</v>
      </c>
      <c r="BR7" s="6" t="s">
        <v>80</v>
      </c>
      <c r="BS7" s="6" t="s">
        <v>81</v>
      </c>
      <c r="BT7" s="6" t="s">
        <v>82</v>
      </c>
      <c r="BU7" s="6" t="s">
        <v>83</v>
      </c>
      <c r="BV7" s="6" t="s">
        <v>84</v>
      </c>
      <c r="BW7" s="6" t="s">
        <v>85</v>
      </c>
      <c r="BX7" s="6" t="s">
        <v>86</v>
      </c>
      <c r="BY7" s="6" t="s">
        <v>87</v>
      </c>
      <c r="BZ7" s="6" t="s">
        <v>88</v>
      </c>
      <c r="CA7" s="6" t="s">
        <v>89</v>
      </c>
      <c r="CB7" s="6" t="s">
        <v>90</v>
      </c>
      <c r="CC7" s="6" t="s">
        <v>91</v>
      </c>
      <c r="CD7" s="6" t="s">
        <v>92</v>
      </c>
      <c r="CE7" s="6" t="s">
        <v>93</v>
      </c>
      <c r="CF7" s="6" t="s">
        <v>94</v>
      </c>
      <c r="CG7" s="6" t="s">
        <v>95</v>
      </c>
      <c r="CH7" s="6" t="s">
        <v>96</v>
      </c>
      <c r="CI7" s="6" t="s">
        <v>97</v>
      </c>
      <c r="CJ7" s="6" t="s">
        <v>98</v>
      </c>
      <c r="CK7" s="6" t="s">
        <v>99</v>
      </c>
      <c r="CL7" s="6" t="s">
        <v>100</v>
      </c>
      <c r="CM7" s="6" t="s">
        <v>101</v>
      </c>
      <c r="CN7" s="6" t="s">
        <v>102</v>
      </c>
      <c r="CO7" s="6" t="s">
        <v>103</v>
      </c>
      <c r="CP7" s="6" t="s">
        <v>104</v>
      </c>
      <c r="CQ7" s="6" t="s">
        <v>105</v>
      </c>
      <c r="CR7" s="6" t="s">
        <v>106</v>
      </c>
      <c r="CS7" s="6" t="s">
        <v>107</v>
      </c>
      <c r="CT7" s="6" t="s">
        <v>108</v>
      </c>
    </row>
    <row r="8" spans="1:98">
      <c r="A8" s="6" t="s">
        <v>109</v>
      </c>
      <c r="B8" s="6" t="s">
        <v>110</v>
      </c>
      <c r="C8" s="13">
        <v>2.03516971038266</v>
      </c>
      <c r="D8" s="13">
        <v>2.0603243586248499</v>
      </c>
      <c r="E8" s="13">
        <v>2.0653694065802699</v>
      </c>
      <c r="F8" s="13">
        <v>2.0874807762832099</v>
      </c>
      <c r="G8" s="13">
        <v>2.1050400482010199</v>
      </c>
      <c r="H8" s="13">
        <v>2.1154192603458899</v>
      </c>
      <c r="I8" s="13">
        <v>2.1518068200870601</v>
      </c>
      <c r="J8" s="13">
        <v>2.1707783725541501</v>
      </c>
      <c r="K8" s="13">
        <v>2.18783691981761</v>
      </c>
      <c r="L8" s="13">
        <v>2.2132586941521701</v>
      </c>
      <c r="M8" s="13">
        <v>2.2359257447920902</v>
      </c>
      <c r="N8" s="13">
        <v>2.2211869184724802</v>
      </c>
      <c r="O8" s="13">
        <v>2.2326241842019399</v>
      </c>
      <c r="P8" s="13">
        <v>2.25901750728924</v>
      </c>
      <c r="Q8" s="13">
        <v>2.2765164106308</v>
      </c>
      <c r="R8" s="13">
        <v>2.30291395940545</v>
      </c>
      <c r="S8" s="13">
        <v>2.3203732479405201</v>
      </c>
      <c r="T8" s="13">
        <v>2.3642172164480799</v>
      </c>
      <c r="U8" s="13">
        <v>2.4053168355103001</v>
      </c>
      <c r="V8" s="13">
        <v>2.3519755124970101</v>
      </c>
      <c r="W8" s="13">
        <v>2.3408422306286298</v>
      </c>
      <c r="X8" s="13">
        <v>2.3474188487574099</v>
      </c>
      <c r="Y8" s="13">
        <v>2.36722788639723</v>
      </c>
      <c r="Z8" s="13">
        <v>2.38170796623861</v>
      </c>
      <c r="AA8" s="13">
        <v>2.37977560548517</v>
      </c>
      <c r="AB8" s="13">
        <v>2.3845469305921401</v>
      </c>
      <c r="AC8" s="13">
        <v>2.3990494738484398</v>
      </c>
      <c r="AD8" s="13">
        <v>2.4227910394257499</v>
      </c>
      <c r="AE8" s="13">
        <v>2.4330498565991299</v>
      </c>
      <c r="AF8" s="13">
        <v>2.4782592908991101</v>
      </c>
      <c r="AG8" s="13">
        <v>2.48958598393371</v>
      </c>
      <c r="AH8" s="13">
        <v>2.4982528033804701</v>
      </c>
      <c r="AI8" s="13">
        <v>2.5146494553159999</v>
      </c>
      <c r="AJ8" s="13">
        <v>2.52107076869803</v>
      </c>
      <c r="AK8" s="13">
        <v>2.5313114193711401</v>
      </c>
      <c r="AL8" s="13">
        <v>2.5519818070473299</v>
      </c>
      <c r="AM8" s="13">
        <v>2.5588970948066301</v>
      </c>
      <c r="AN8" s="13">
        <v>2.5563607318916199</v>
      </c>
      <c r="AO8" s="13">
        <v>2.5757018498037501</v>
      </c>
      <c r="AP8" s="13">
        <v>2.5903118852466198</v>
      </c>
      <c r="AQ8" s="13">
        <v>2.5984834377108701</v>
      </c>
      <c r="AR8" s="13">
        <v>2.6097667453760698</v>
      </c>
      <c r="AS8" s="13">
        <v>2.6162580136308198</v>
      </c>
      <c r="AT8" s="13">
        <v>2.6185435816407101</v>
      </c>
      <c r="AU8" s="13">
        <v>2.6130742036410601</v>
      </c>
      <c r="AV8" s="13">
        <v>2.6248654931503501</v>
      </c>
      <c r="AW8" s="13">
        <v>2.6210903132751202</v>
      </c>
      <c r="AX8" s="13">
        <v>2.62812001494735</v>
      </c>
      <c r="AY8" s="13">
        <v>2.6195672059792101</v>
      </c>
      <c r="AZ8" s="13">
        <v>2.6445845101286198</v>
      </c>
      <c r="BA8" s="13">
        <v>2.6645119184811499</v>
      </c>
      <c r="BB8" s="13">
        <v>2.6793127669589998</v>
      </c>
      <c r="BC8" s="13">
        <v>2.69196801581622</v>
      </c>
      <c r="BD8" s="13">
        <v>2.6963999173151398</v>
      </c>
      <c r="BE8" s="13">
        <v>2.70820199309592</v>
      </c>
      <c r="BF8" s="13">
        <v>2.7228199938442401</v>
      </c>
      <c r="BG8" s="13">
        <v>2.7581855200157999</v>
      </c>
      <c r="BH8" s="13">
        <v>2.7725868388914199</v>
      </c>
      <c r="BI8" s="13">
        <v>2.7794261240196301</v>
      </c>
      <c r="BJ8" s="13">
        <v>2.79252284616837</v>
      </c>
      <c r="BK8" s="13">
        <v>2.80204068249218</v>
      </c>
      <c r="BL8" s="13">
        <v>2.8122450644763202</v>
      </c>
      <c r="BM8" s="13">
        <v>2.8300584393122699</v>
      </c>
      <c r="BN8" s="13">
        <v>2.84208162724111</v>
      </c>
      <c r="BO8" s="13">
        <v>2.8551686160991401</v>
      </c>
      <c r="BP8" s="13">
        <v>2.8532778182259202</v>
      </c>
      <c r="BQ8" s="13">
        <v>2.8766732544002802</v>
      </c>
      <c r="BR8" s="13">
        <v>2.8982648495135899</v>
      </c>
      <c r="BS8" s="13">
        <v>2.9160216774221999</v>
      </c>
      <c r="BT8" s="13">
        <v>2.9654626403941302</v>
      </c>
      <c r="BU8" s="13">
        <v>3.0081548337632902</v>
      </c>
      <c r="BV8" s="13">
        <v>3.0630482422248799</v>
      </c>
      <c r="BW8" s="13">
        <v>3.1259030163817498</v>
      </c>
      <c r="BX8" s="13">
        <v>3.2014215237569101</v>
      </c>
      <c r="BY8" s="13">
        <v>3.2421852795932899</v>
      </c>
      <c r="BZ8" s="13">
        <v>3.28097034676113</v>
      </c>
      <c r="CA8" s="13">
        <v>3.3147673493876102</v>
      </c>
      <c r="CB8" s="13">
        <v>3.3342442670690202</v>
      </c>
      <c r="CC8" s="13">
        <v>3.3575240050477801</v>
      </c>
      <c r="CD8" s="13">
        <v>3.3819769082909898</v>
      </c>
      <c r="CE8" s="13">
        <v>3.4050737208242499</v>
      </c>
      <c r="CF8" s="13">
        <v>3.4235125377062201</v>
      </c>
      <c r="CG8" s="13">
        <v>3.4450513542515901</v>
      </c>
      <c r="CH8" s="13">
        <v>3.46875440874557</v>
      </c>
      <c r="CI8" s="13">
        <v>3.4882052868706701</v>
      </c>
      <c r="CJ8" s="13">
        <v>3.5079404569764301</v>
      </c>
      <c r="CK8" s="13">
        <v>3.52720160365971</v>
      </c>
      <c r="CL8" s="13">
        <v>3.5476099886222801</v>
      </c>
      <c r="CM8" s="13">
        <v>3.56843780489451</v>
      </c>
      <c r="CN8" s="13">
        <v>3.5885155982193702</v>
      </c>
      <c r="CO8" s="13">
        <v>3.6085155243706</v>
      </c>
      <c r="CP8" s="13">
        <v>3.6288578979966402</v>
      </c>
      <c r="CQ8" s="13">
        <v>3.6502636785569198</v>
      </c>
      <c r="CR8" s="13">
        <v>3.6714830563818301</v>
      </c>
      <c r="CS8" s="13">
        <v>3.6917467571563201</v>
      </c>
      <c r="CT8" s="13">
        <v>3.7124949401037699</v>
      </c>
    </row>
    <row r="9" spans="1:98">
      <c r="A9" s="6" t="s">
        <v>111</v>
      </c>
      <c r="B9" s="6" t="s">
        <v>112</v>
      </c>
      <c r="C9" s="13">
        <v>2.03516971038266</v>
      </c>
      <c r="D9" s="13">
        <v>2.0603243586248499</v>
      </c>
      <c r="E9" s="13">
        <v>2.0653694065802699</v>
      </c>
      <c r="F9" s="13">
        <v>2.0874807762832099</v>
      </c>
      <c r="G9" s="13">
        <v>2.1050400482010199</v>
      </c>
      <c r="H9" s="13">
        <v>2.1154192603458899</v>
      </c>
      <c r="I9" s="13">
        <v>2.1518068200870601</v>
      </c>
      <c r="J9" s="13">
        <v>2.1707783725541501</v>
      </c>
      <c r="K9" s="13">
        <v>2.18783691981761</v>
      </c>
      <c r="L9" s="13">
        <v>2.2132586941521701</v>
      </c>
      <c r="M9" s="13">
        <v>2.2359257447920902</v>
      </c>
      <c r="N9" s="13">
        <v>2.2211869184724802</v>
      </c>
      <c r="O9" s="13">
        <v>2.2326241842019399</v>
      </c>
      <c r="P9" s="13">
        <v>2.25901750728924</v>
      </c>
      <c r="Q9" s="13">
        <v>2.2765164106308</v>
      </c>
      <c r="R9" s="13">
        <v>2.30291395940545</v>
      </c>
      <c r="S9" s="13">
        <v>2.3203732479405201</v>
      </c>
      <c r="T9" s="13">
        <v>2.3642172164480799</v>
      </c>
      <c r="U9" s="13">
        <v>2.4053168355103001</v>
      </c>
      <c r="V9" s="13">
        <v>2.3519755124970101</v>
      </c>
      <c r="W9" s="13">
        <v>2.3408422306286298</v>
      </c>
      <c r="X9" s="13">
        <v>2.3474188487574099</v>
      </c>
      <c r="Y9" s="13">
        <v>2.36722788639723</v>
      </c>
      <c r="Z9" s="13">
        <v>2.38170796623861</v>
      </c>
      <c r="AA9" s="13">
        <v>2.37977560548517</v>
      </c>
      <c r="AB9" s="13">
        <v>2.3845469305921401</v>
      </c>
      <c r="AC9" s="13">
        <v>2.3990494738484398</v>
      </c>
      <c r="AD9" s="13">
        <v>2.4227910394257499</v>
      </c>
      <c r="AE9" s="13">
        <v>2.4330498565991299</v>
      </c>
      <c r="AF9" s="13">
        <v>2.4782592908991101</v>
      </c>
      <c r="AG9" s="13">
        <v>2.48958598393371</v>
      </c>
      <c r="AH9" s="13">
        <v>2.4982528033804701</v>
      </c>
      <c r="AI9" s="13">
        <v>2.5146494553159999</v>
      </c>
      <c r="AJ9" s="13">
        <v>2.52107076869803</v>
      </c>
      <c r="AK9" s="13">
        <v>2.5313114193711401</v>
      </c>
      <c r="AL9" s="13">
        <v>2.5519818070473299</v>
      </c>
      <c r="AM9" s="13">
        <v>2.5588970948066301</v>
      </c>
      <c r="AN9" s="13">
        <v>2.5563607318916199</v>
      </c>
      <c r="AO9" s="13">
        <v>2.5757018498037501</v>
      </c>
      <c r="AP9" s="13">
        <v>2.5903118852466198</v>
      </c>
      <c r="AQ9" s="13">
        <v>2.5984834377108701</v>
      </c>
      <c r="AR9" s="13">
        <v>2.6097667453760698</v>
      </c>
      <c r="AS9" s="13">
        <v>2.6162580136308198</v>
      </c>
      <c r="AT9" s="13">
        <v>2.6185435816407101</v>
      </c>
      <c r="AU9" s="13">
        <v>2.6130742036410601</v>
      </c>
      <c r="AV9" s="13">
        <v>2.6248654931503501</v>
      </c>
      <c r="AW9" s="13">
        <v>2.6210903132751202</v>
      </c>
      <c r="AX9" s="13">
        <v>2.62812001494735</v>
      </c>
      <c r="AY9" s="13">
        <v>2.6195672059792101</v>
      </c>
      <c r="AZ9" s="13">
        <v>2.6445845101286198</v>
      </c>
      <c r="BA9" s="13">
        <v>2.6645119184811499</v>
      </c>
      <c r="BB9" s="13">
        <v>2.6793127669589998</v>
      </c>
      <c r="BC9" s="13">
        <v>2.69196801581622</v>
      </c>
      <c r="BD9" s="13">
        <v>2.6963999173151398</v>
      </c>
      <c r="BE9" s="13">
        <v>2.70820199309592</v>
      </c>
      <c r="BF9" s="13">
        <v>2.7228199938442401</v>
      </c>
      <c r="BG9" s="13">
        <v>2.7581855200157999</v>
      </c>
      <c r="BH9" s="13">
        <v>2.7725868388914199</v>
      </c>
      <c r="BI9" s="13">
        <v>2.7794261240196301</v>
      </c>
      <c r="BJ9" s="13">
        <v>2.79252284616837</v>
      </c>
      <c r="BK9" s="13">
        <v>2.80204068249218</v>
      </c>
      <c r="BL9" s="13">
        <v>2.8122450644763202</v>
      </c>
      <c r="BM9" s="13">
        <v>2.8300584393122699</v>
      </c>
      <c r="BN9" s="13">
        <v>2.84208162724111</v>
      </c>
      <c r="BO9" s="13">
        <v>2.8551686160991401</v>
      </c>
      <c r="BP9" s="13">
        <v>2.8532778182259202</v>
      </c>
      <c r="BQ9" s="13">
        <v>2.8766732544002802</v>
      </c>
      <c r="BR9" s="13">
        <v>2.8982648495135899</v>
      </c>
      <c r="BS9" s="13">
        <v>2.9160216774221999</v>
      </c>
      <c r="BT9" s="13">
        <v>2.9654626403941302</v>
      </c>
      <c r="BU9" s="13">
        <v>3.0081548337632902</v>
      </c>
      <c r="BV9" s="13">
        <v>3.0630482422248799</v>
      </c>
      <c r="BW9" s="13">
        <v>3.1259030163817498</v>
      </c>
      <c r="BX9" s="13">
        <v>3.2014215237569101</v>
      </c>
      <c r="BY9" s="13">
        <v>3.2255363055134101</v>
      </c>
      <c r="BZ9" s="13">
        <v>3.2598916230874599</v>
      </c>
      <c r="CA9" s="13">
        <v>3.2891346677534301</v>
      </c>
      <c r="CB9" s="13">
        <v>3.30621025530152</v>
      </c>
      <c r="CC9" s="13">
        <v>3.3272304548242801</v>
      </c>
      <c r="CD9" s="13">
        <v>3.3506000676307002</v>
      </c>
      <c r="CE9" s="13">
        <v>3.3713855548821599</v>
      </c>
      <c r="CF9" s="13">
        <v>3.3883014039568402</v>
      </c>
      <c r="CG9" s="13">
        <v>3.4080858525713902</v>
      </c>
      <c r="CH9" s="13">
        <v>3.42941797508669</v>
      </c>
      <c r="CI9" s="13">
        <v>3.4464785567767202</v>
      </c>
      <c r="CJ9" s="13">
        <v>3.46378925221474</v>
      </c>
      <c r="CK9" s="13">
        <v>3.4809094361872699</v>
      </c>
      <c r="CL9" s="13">
        <v>3.4992140517661001</v>
      </c>
      <c r="CM9" s="13">
        <v>3.5178797103848898</v>
      </c>
      <c r="CN9" s="13">
        <v>3.53579934508278</v>
      </c>
      <c r="CO9" s="13">
        <v>3.5537903995520801</v>
      </c>
      <c r="CP9" s="13">
        <v>3.5722371267770701</v>
      </c>
      <c r="CQ9" s="13">
        <v>3.5919469703646798</v>
      </c>
      <c r="CR9" s="13">
        <v>3.6114642330203099</v>
      </c>
      <c r="CS9" s="13">
        <v>3.6300819400814999</v>
      </c>
      <c r="CT9" s="13">
        <v>3.6492439952051701</v>
      </c>
    </row>
    <row r="10" spans="1:98">
      <c r="A10" s="6" t="s">
        <v>113</v>
      </c>
      <c r="B10" s="6" t="s">
        <v>114</v>
      </c>
      <c r="C10" s="13">
        <v>2.03516971038266</v>
      </c>
      <c r="D10" s="13">
        <v>2.0603243586248499</v>
      </c>
      <c r="E10" s="13">
        <v>2.0653694065802699</v>
      </c>
      <c r="F10" s="13">
        <v>2.0874807762832099</v>
      </c>
      <c r="G10" s="13">
        <v>2.1050400482010199</v>
      </c>
      <c r="H10" s="13">
        <v>2.1154192603458899</v>
      </c>
      <c r="I10" s="13">
        <v>2.1518068200870601</v>
      </c>
      <c r="J10" s="13">
        <v>2.1707783725541501</v>
      </c>
      <c r="K10" s="13">
        <v>2.18783691981761</v>
      </c>
      <c r="L10" s="13">
        <v>2.2132586941521701</v>
      </c>
      <c r="M10" s="13">
        <v>2.2359257447920902</v>
      </c>
      <c r="N10" s="13">
        <v>2.2211869184724802</v>
      </c>
      <c r="O10" s="13">
        <v>2.2326241842019399</v>
      </c>
      <c r="P10" s="13">
        <v>2.25901750728924</v>
      </c>
      <c r="Q10" s="13">
        <v>2.2765164106308</v>
      </c>
      <c r="R10" s="13">
        <v>2.30291395940545</v>
      </c>
      <c r="S10" s="13">
        <v>2.3203732479405201</v>
      </c>
      <c r="T10" s="13">
        <v>2.3642172164480799</v>
      </c>
      <c r="U10" s="13">
        <v>2.4053168355103001</v>
      </c>
      <c r="V10" s="13">
        <v>2.3519755124970101</v>
      </c>
      <c r="W10" s="13">
        <v>2.3408422306286298</v>
      </c>
      <c r="X10" s="13">
        <v>2.3474188487574099</v>
      </c>
      <c r="Y10" s="13">
        <v>2.36722788639723</v>
      </c>
      <c r="Z10" s="13">
        <v>2.38170796623861</v>
      </c>
      <c r="AA10" s="13">
        <v>2.37977560548517</v>
      </c>
      <c r="AB10" s="13">
        <v>2.3845469305921401</v>
      </c>
      <c r="AC10" s="13">
        <v>2.3990494738484398</v>
      </c>
      <c r="AD10" s="13">
        <v>2.4227910394257499</v>
      </c>
      <c r="AE10" s="13">
        <v>2.4330498565991299</v>
      </c>
      <c r="AF10" s="13">
        <v>2.4782592908991101</v>
      </c>
      <c r="AG10" s="13">
        <v>2.48958598393371</v>
      </c>
      <c r="AH10" s="13">
        <v>2.4982528033804701</v>
      </c>
      <c r="AI10" s="13">
        <v>2.5146494553159999</v>
      </c>
      <c r="AJ10" s="13">
        <v>2.52107076869803</v>
      </c>
      <c r="AK10" s="13">
        <v>2.5313114193711401</v>
      </c>
      <c r="AL10" s="13">
        <v>2.5519818070473299</v>
      </c>
      <c r="AM10" s="13">
        <v>2.5588970948066301</v>
      </c>
      <c r="AN10" s="13">
        <v>2.5563607318916199</v>
      </c>
      <c r="AO10" s="13">
        <v>2.5757018498037501</v>
      </c>
      <c r="AP10" s="13">
        <v>2.5903118852466198</v>
      </c>
      <c r="AQ10" s="13">
        <v>2.5984834377108701</v>
      </c>
      <c r="AR10" s="13">
        <v>2.6097667453760698</v>
      </c>
      <c r="AS10" s="13">
        <v>2.6162580136308198</v>
      </c>
      <c r="AT10" s="13">
        <v>2.6185435816407101</v>
      </c>
      <c r="AU10" s="13">
        <v>2.6130742036410601</v>
      </c>
      <c r="AV10" s="13">
        <v>2.6248654931503501</v>
      </c>
      <c r="AW10" s="13">
        <v>2.6210903132751202</v>
      </c>
      <c r="AX10" s="13">
        <v>2.62812001494735</v>
      </c>
      <c r="AY10" s="13">
        <v>2.6195672059792101</v>
      </c>
      <c r="AZ10" s="13">
        <v>2.6445845101286198</v>
      </c>
      <c r="BA10" s="13">
        <v>2.6645119184811499</v>
      </c>
      <c r="BB10" s="13">
        <v>2.6793127669589998</v>
      </c>
      <c r="BC10" s="13">
        <v>2.69196801581622</v>
      </c>
      <c r="BD10" s="13">
        <v>2.6963999173151398</v>
      </c>
      <c r="BE10" s="13">
        <v>2.70820199309592</v>
      </c>
      <c r="BF10" s="13">
        <v>2.7228199938442401</v>
      </c>
      <c r="BG10" s="13">
        <v>2.7581855200157999</v>
      </c>
      <c r="BH10" s="13">
        <v>2.7725868388914199</v>
      </c>
      <c r="BI10" s="13">
        <v>2.7794261240196301</v>
      </c>
      <c r="BJ10" s="13">
        <v>2.79252284616837</v>
      </c>
      <c r="BK10" s="13">
        <v>2.80204068249218</v>
      </c>
      <c r="BL10" s="13">
        <v>2.8122450644763202</v>
      </c>
      <c r="BM10" s="13">
        <v>2.8300584393122699</v>
      </c>
      <c r="BN10" s="13">
        <v>2.84208162724111</v>
      </c>
      <c r="BO10" s="13">
        <v>2.8551686160991401</v>
      </c>
      <c r="BP10" s="13">
        <v>2.8532778182259202</v>
      </c>
      <c r="BQ10" s="13">
        <v>2.8766732544002802</v>
      </c>
      <c r="BR10" s="13">
        <v>2.8982648495135899</v>
      </c>
      <c r="BS10" s="13">
        <v>2.9160216774221999</v>
      </c>
      <c r="BT10" s="13">
        <v>2.9654626403941302</v>
      </c>
      <c r="BU10" s="13">
        <v>3.0081548337632902</v>
      </c>
      <c r="BV10" s="13">
        <v>3.0630482422248799</v>
      </c>
      <c r="BW10" s="13">
        <v>3.1259030163817498</v>
      </c>
      <c r="BX10" s="13">
        <v>3.2014215237569101</v>
      </c>
      <c r="BY10" s="13">
        <v>3.2538360600876799</v>
      </c>
      <c r="BZ10" s="13">
        <v>3.3031965097870799</v>
      </c>
      <c r="CA10" s="13">
        <v>3.3480395194667398</v>
      </c>
      <c r="CB10" s="13">
        <v>3.3772072582577199</v>
      </c>
      <c r="CC10" s="13">
        <v>3.4094675504554299</v>
      </c>
      <c r="CD10" s="13">
        <v>3.4424749536492398</v>
      </c>
      <c r="CE10" s="13">
        <v>3.4743211894451802</v>
      </c>
      <c r="CF10" s="13">
        <v>3.5006039732964802</v>
      </c>
      <c r="CG10" s="13">
        <v>3.5303989876569202</v>
      </c>
      <c r="CH10" s="13">
        <v>3.5628674447020598</v>
      </c>
      <c r="CI10" s="13">
        <v>3.5914669049492498</v>
      </c>
      <c r="CJ10" s="13">
        <v>3.6209181772272898</v>
      </c>
      <c r="CK10" s="13">
        <v>3.6499561132707901</v>
      </c>
      <c r="CL10" s="13">
        <v>3.6803370088943401</v>
      </c>
      <c r="CM10" s="13">
        <v>3.7115944324369101</v>
      </c>
      <c r="CN10" s="13">
        <v>3.7424449232069499</v>
      </c>
      <c r="CO10" s="13">
        <v>3.7735168503534799</v>
      </c>
      <c r="CP10" s="13">
        <v>3.8051953825342602</v>
      </c>
      <c r="CQ10" s="13">
        <v>3.8381085422962502</v>
      </c>
      <c r="CR10" s="13">
        <v>3.8709313876845499</v>
      </c>
      <c r="CS10" s="13">
        <v>3.9029692393289599</v>
      </c>
      <c r="CT10" s="13">
        <v>3.9358493172804301</v>
      </c>
    </row>
    <row r="12" spans="1:98">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row>
    <row r="13" spans="1:98">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row>
    <row r="14" spans="1:98">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row>
    <row r="15" spans="1:98">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BZ15" s="15" t="s">
        <v>115</v>
      </c>
      <c r="CA15" s="16"/>
      <c r="CB15" s="16"/>
      <c r="CC15" s="17" t="s">
        <v>116</v>
      </c>
      <c r="CD15" s="18"/>
      <c r="CE15" s="18"/>
      <c r="CF15" s="18"/>
      <c r="CG15" s="18"/>
      <c r="CH15" s="18"/>
      <c r="CI15" s="16"/>
      <c r="CJ15" s="16"/>
      <c r="CK15" s="16"/>
    </row>
    <row r="16" spans="1:98">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BZ16" s="19"/>
      <c r="CA16" s="20"/>
      <c r="CB16" s="20"/>
      <c r="CC16" s="20"/>
      <c r="CD16" s="20"/>
      <c r="CE16" s="20"/>
      <c r="CF16" s="20"/>
      <c r="CG16" s="20"/>
      <c r="CH16" s="20"/>
      <c r="CI16" s="20"/>
      <c r="CJ16" s="20"/>
      <c r="CK16" s="21"/>
    </row>
    <row r="17" spans="3:89">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BZ17" s="23"/>
      <c r="CA17" s="24" t="s">
        <v>117</v>
      </c>
      <c r="CB17" s="25" t="str">
        <f>CB7</f>
        <v>2023Q2</v>
      </c>
      <c r="CC17" s="16"/>
      <c r="CD17" s="16"/>
      <c r="CE17" s="16"/>
      <c r="CF17" s="16"/>
      <c r="CG17" s="16"/>
      <c r="CH17" s="16"/>
      <c r="CI17" s="16"/>
      <c r="CJ17" s="16"/>
      <c r="CK17" s="26"/>
    </row>
    <row r="18" spans="3:89">
      <c r="BZ18" s="23"/>
      <c r="CA18" s="16"/>
      <c r="CB18" s="27" t="s">
        <v>118</v>
      </c>
      <c r="CC18" s="16"/>
      <c r="CD18" s="16"/>
      <c r="CE18" s="16"/>
      <c r="CF18" s="16"/>
      <c r="CG18" s="16"/>
      <c r="CH18" s="16"/>
      <c r="CI18" s="16"/>
      <c r="CJ18" s="16"/>
      <c r="CK18" s="28" t="s">
        <v>119</v>
      </c>
    </row>
    <row r="19" spans="3:89">
      <c r="BZ19" s="23"/>
      <c r="CA19" s="16"/>
      <c r="CB19" s="29">
        <f>CB9</f>
        <v>3.30621025530152</v>
      </c>
      <c r="CC19" s="30"/>
      <c r="CD19" s="16"/>
      <c r="CE19" s="16"/>
      <c r="CF19" s="16"/>
      <c r="CG19" s="16"/>
      <c r="CH19" s="16"/>
      <c r="CI19" s="16"/>
      <c r="CJ19" s="16"/>
      <c r="CK19" s="31">
        <f>CB19</f>
        <v>3.30621025530152</v>
      </c>
    </row>
    <row r="20" spans="3:89">
      <c r="BZ20" s="23"/>
      <c r="CA20" s="16"/>
      <c r="CB20" s="16"/>
      <c r="CC20" s="16"/>
      <c r="CD20" s="16"/>
      <c r="CE20" s="16"/>
      <c r="CF20" s="16"/>
      <c r="CG20" s="16"/>
      <c r="CH20" s="16"/>
      <c r="CI20" s="16"/>
      <c r="CJ20" s="16"/>
      <c r="CK20" s="32"/>
    </row>
    <row r="21" spans="3:89">
      <c r="BZ21" s="749" t="s">
        <v>120</v>
      </c>
      <c r="CA21" s="750"/>
      <c r="CB21" s="750"/>
      <c r="CC21" s="16" t="s">
        <v>121</v>
      </c>
      <c r="CD21" s="16"/>
      <c r="CE21" s="16"/>
      <c r="CF21" s="16"/>
      <c r="CG21" s="16"/>
      <c r="CH21" s="16"/>
      <c r="CI21" s="16"/>
      <c r="CJ21" s="16"/>
      <c r="CK21" s="32"/>
    </row>
    <row r="22" spans="3:89">
      <c r="BZ22" s="33"/>
      <c r="CA22" s="24"/>
      <c r="CB22" s="25" t="str">
        <f>CC7</f>
        <v>2023Q3</v>
      </c>
      <c r="CC22" s="25" t="str">
        <f t="shared" ref="CC22:CI22" si="0">CD7</f>
        <v>2023Q4</v>
      </c>
      <c r="CD22" s="25" t="str">
        <f t="shared" si="0"/>
        <v>2024Q1</v>
      </c>
      <c r="CE22" s="25" t="str">
        <f t="shared" si="0"/>
        <v>2024Q2</v>
      </c>
      <c r="CF22" s="25" t="str">
        <f t="shared" si="0"/>
        <v>2024Q3</v>
      </c>
      <c r="CG22" s="25" t="str">
        <f t="shared" si="0"/>
        <v>2024Q4</v>
      </c>
      <c r="CH22" s="25" t="str">
        <f t="shared" si="0"/>
        <v>2025Q1</v>
      </c>
      <c r="CI22" s="25" t="str">
        <f t="shared" si="0"/>
        <v>2025Q2</v>
      </c>
      <c r="CJ22" s="16"/>
      <c r="CK22" s="32"/>
    </row>
    <row r="23" spans="3:89">
      <c r="BZ23" s="23"/>
      <c r="CA23" s="16"/>
      <c r="CB23" s="34" t="str">
        <f>CC6</f>
        <v>FY24</v>
      </c>
      <c r="CC23" s="34" t="str">
        <f t="shared" ref="CC23:CI23" si="1">CD6</f>
        <v>FY24</v>
      </c>
      <c r="CD23" s="34" t="str">
        <f t="shared" si="1"/>
        <v>FY24</v>
      </c>
      <c r="CE23" s="34" t="str">
        <f t="shared" si="1"/>
        <v>FY24</v>
      </c>
      <c r="CF23" s="34" t="str">
        <f t="shared" si="1"/>
        <v>FY25</v>
      </c>
      <c r="CG23" s="34" t="str">
        <f t="shared" si="1"/>
        <v>FY25</v>
      </c>
      <c r="CH23" s="34" t="str">
        <f t="shared" si="1"/>
        <v>FY25</v>
      </c>
      <c r="CI23" s="34" t="str">
        <f t="shared" si="1"/>
        <v>FY25</v>
      </c>
      <c r="CJ23" s="16"/>
      <c r="CK23" s="32"/>
    </row>
    <row r="24" spans="3:89">
      <c r="BZ24" s="23"/>
      <c r="CA24" s="16"/>
      <c r="CB24" s="35">
        <f>CC9</f>
        <v>3.3272304548242801</v>
      </c>
      <c r="CC24" s="35">
        <f t="shared" ref="CC24:CI24" si="2">CD9</f>
        <v>3.3506000676307002</v>
      </c>
      <c r="CD24" s="35">
        <f t="shared" si="2"/>
        <v>3.3713855548821599</v>
      </c>
      <c r="CE24" s="35">
        <f t="shared" si="2"/>
        <v>3.3883014039568402</v>
      </c>
      <c r="CF24" s="35">
        <f t="shared" si="2"/>
        <v>3.4080858525713902</v>
      </c>
      <c r="CG24" s="35">
        <f t="shared" si="2"/>
        <v>3.42941797508669</v>
      </c>
      <c r="CH24" s="35">
        <f t="shared" si="2"/>
        <v>3.4464785567767202</v>
      </c>
      <c r="CI24" s="35">
        <f t="shared" si="2"/>
        <v>3.46378925221474</v>
      </c>
      <c r="CJ24" s="16"/>
      <c r="CK24" s="31">
        <f>AVERAGE(CB24:CI24)</f>
        <v>3.3981611397429399</v>
      </c>
    </row>
    <row r="25" spans="3:89">
      <c r="BZ25" s="23"/>
      <c r="CA25" s="16"/>
      <c r="CB25" s="16"/>
      <c r="CC25" s="16"/>
      <c r="CD25" s="16"/>
      <c r="CE25" s="16"/>
      <c r="CF25" s="16"/>
      <c r="CG25" s="16"/>
      <c r="CH25" s="16"/>
      <c r="CI25" s="16"/>
      <c r="CJ25" s="16"/>
      <c r="CK25" s="32"/>
    </row>
    <row r="26" spans="3:89">
      <c r="BZ26" s="23"/>
      <c r="CA26" s="16"/>
      <c r="CB26" s="16"/>
      <c r="CC26" s="16"/>
      <c r="CD26" s="16"/>
      <c r="CE26" s="16"/>
      <c r="CF26" s="16"/>
      <c r="CG26" s="16"/>
      <c r="CH26" s="16"/>
      <c r="CI26" s="16"/>
      <c r="CJ26" s="36" t="s">
        <v>122</v>
      </c>
      <c r="CK26" s="37">
        <f>(CK24-CK19)/CK19</f>
        <v>2.7811565914169036E-2</v>
      </c>
    </row>
    <row r="27" spans="3:89">
      <c r="BZ27" s="38"/>
      <c r="CA27" s="39"/>
      <c r="CB27" s="39"/>
      <c r="CC27" s="39"/>
      <c r="CD27" s="39"/>
      <c r="CE27" s="39"/>
      <c r="CF27" s="39"/>
      <c r="CG27" s="39"/>
      <c r="CH27" s="39"/>
      <c r="CI27" s="39"/>
      <c r="CJ27" s="39"/>
      <c r="CK27" s="40"/>
    </row>
  </sheetData>
  <mergeCells count="2">
    <mergeCell ref="A1:B1"/>
    <mergeCell ref="BZ21:CB21"/>
  </mergeCells>
  <pageMargins left="0.25" right="0.25" top="1" bottom="1" header="0.5" footer="0.5"/>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1DAA-F73C-4383-9C5A-D51D1EE35316}">
  <dimension ref="A1:P40"/>
  <sheetViews>
    <sheetView topLeftCell="A4" zoomScale="80" zoomScaleNormal="80" workbookViewId="0">
      <selection activeCell="J41" sqref="J41"/>
    </sheetView>
  </sheetViews>
  <sheetFormatPr defaultColWidth="8.85546875" defaultRowHeight="15"/>
  <cols>
    <col min="1" max="1" width="36.28515625" customWidth="1"/>
    <col min="2" max="2" width="20" customWidth="1"/>
    <col min="3" max="3" width="40" bestFit="1" customWidth="1"/>
    <col min="4" max="4" width="22.7109375" customWidth="1"/>
    <col min="5" max="5" width="11.7109375" customWidth="1"/>
    <col min="6" max="6" width="14" bestFit="1" customWidth="1"/>
    <col min="7" max="7" width="16.7109375" customWidth="1"/>
    <col min="8" max="8" width="22.42578125" customWidth="1"/>
    <col min="9" max="9" width="18.85546875" customWidth="1"/>
    <col min="10" max="10" width="17.5703125" customWidth="1"/>
    <col min="11" max="11" width="16" customWidth="1"/>
    <col min="12" max="12" width="2.28515625" hidden="1" customWidth="1"/>
    <col min="13" max="13" width="14.5703125" style="510" customWidth="1"/>
    <col min="14" max="14" width="14.85546875" customWidth="1"/>
    <col min="15" max="15" width="20" customWidth="1"/>
  </cols>
  <sheetData>
    <row r="1" spans="1:15">
      <c r="F1" s="508"/>
      <c r="G1" s="508"/>
      <c r="H1" s="509"/>
      <c r="I1" s="509"/>
      <c r="J1" s="509"/>
    </row>
    <row r="2" spans="1:15" ht="23.25">
      <c r="A2" s="511"/>
      <c r="B2" s="511"/>
      <c r="C2" s="511" t="s">
        <v>288</v>
      </c>
      <c r="D2" s="511"/>
      <c r="E2" s="511"/>
      <c r="F2" s="511"/>
      <c r="G2" s="511"/>
      <c r="H2" s="512"/>
      <c r="I2" s="512"/>
      <c r="J2" s="512"/>
    </row>
    <row r="3" spans="1:15">
      <c r="F3" s="508"/>
      <c r="G3" s="508"/>
      <c r="H3" s="509"/>
      <c r="I3" s="509"/>
      <c r="J3" s="509"/>
    </row>
    <row r="4" spans="1:15" ht="15.75" thickBot="1">
      <c r="F4" s="513"/>
      <c r="G4" s="513"/>
      <c r="H4" s="509"/>
      <c r="I4" s="509"/>
      <c r="J4" s="509"/>
    </row>
    <row r="5" spans="1:15" ht="30.75" thickBot="1">
      <c r="A5" s="514" t="s">
        <v>289</v>
      </c>
      <c r="B5" s="515" t="s">
        <v>290</v>
      </c>
      <c r="C5" s="516" t="s">
        <v>291</v>
      </c>
      <c r="D5" s="515" t="s">
        <v>292</v>
      </c>
      <c r="E5" s="517" t="s">
        <v>293</v>
      </c>
      <c r="F5" s="518" t="s">
        <v>294</v>
      </c>
      <c r="G5" s="519" t="s">
        <v>295</v>
      </c>
      <c r="H5" s="520" t="s">
        <v>296</v>
      </c>
      <c r="I5" s="521" t="s">
        <v>297</v>
      </c>
      <c r="J5" s="521" t="s">
        <v>298</v>
      </c>
      <c r="K5" s="522" t="s">
        <v>299</v>
      </c>
      <c r="M5" s="510" t="s">
        <v>300</v>
      </c>
      <c r="N5" t="s">
        <v>301</v>
      </c>
    </row>
    <row r="6" spans="1:15">
      <c r="A6" s="523" t="s">
        <v>302</v>
      </c>
      <c r="B6" t="s">
        <v>303</v>
      </c>
      <c r="C6" s="524" t="s">
        <v>304</v>
      </c>
      <c r="D6" t="s">
        <v>305</v>
      </c>
      <c r="E6" s="525">
        <v>71.739999999999995</v>
      </c>
      <c r="F6" s="526">
        <v>7533</v>
      </c>
      <c r="G6" s="527">
        <v>540417.42000000004</v>
      </c>
      <c r="H6" s="832">
        <v>79460</v>
      </c>
      <c r="I6" s="528"/>
      <c r="J6" s="528"/>
      <c r="K6" s="529"/>
      <c r="M6" s="510">
        <f>'Forensic PACT Rate Budget'!J33</f>
        <v>98.260279923627678</v>
      </c>
      <c r="N6" s="530">
        <f>M6*F6</f>
        <v>740194.68866468733</v>
      </c>
      <c r="O6" s="530"/>
    </row>
    <row r="7" spans="1:15" ht="18" customHeight="1">
      <c r="A7" s="531" t="s">
        <v>302</v>
      </c>
      <c r="B7" s="532" t="s">
        <v>306</v>
      </c>
      <c r="C7" s="533" t="s">
        <v>307</v>
      </c>
      <c r="D7" s="532" t="s">
        <v>308</v>
      </c>
      <c r="E7" s="534">
        <v>276.35000000000002</v>
      </c>
      <c r="F7" s="535">
        <v>1830</v>
      </c>
      <c r="G7" s="536">
        <v>474270</v>
      </c>
      <c r="H7" s="833"/>
      <c r="I7" s="537"/>
      <c r="J7" s="537">
        <v>29648</v>
      </c>
      <c r="K7" s="538">
        <f>SUM(G6:J7)</f>
        <v>1123795.42</v>
      </c>
      <c r="L7" s="539" t="s">
        <v>309</v>
      </c>
      <c r="M7" s="510">
        <f>'Forensic GLE Budget'!J28</f>
        <v>426.96899264459034</v>
      </c>
      <c r="N7" s="530">
        <f t="shared" ref="N7:N24" si="0">M7*F7</f>
        <v>781353.25653960032</v>
      </c>
      <c r="O7" s="530"/>
    </row>
    <row r="8" spans="1:15">
      <c r="A8" s="523" t="s">
        <v>310</v>
      </c>
      <c r="B8" s="540" t="s">
        <v>311</v>
      </c>
      <c r="C8" s="524" t="s">
        <v>312</v>
      </c>
      <c r="D8" t="s">
        <v>305</v>
      </c>
      <c r="E8" s="541">
        <v>50.13</v>
      </c>
      <c r="F8" s="526">
        <v>9542</v>
      </c>
      <c r="G8" s="542">
        <v>478340.46</v>
      </c>
      <c r="H8" s="543">
        <v>26735.67</v>
      </c>
      <c r="I8" s="544"/>
      <c r="J8" s="544">
        <v>15978</v>
      </c>
      <c r="K8" s="545">
        <f>SUM(G8:J8)</f>
        <v>521054.13</v>
      </c>
      <c r="M8" s="510">
        <f>'PACT 50 Rate Budget'!J33</f>
        <v>72.411214456135184</v>
      </c>
      <c r="N8" s="530">
        <f t="shared" si="0"/>
        <v>690947.8083404419</v>
      </c>
      <c r="O8" s="530"/>
    </row>
    <row r="9" spans="1:15">
      <c r="A9" s="523" t="s">
        <v>313</v>
      </c>
      <c r="B9" s="540" t="s">
        <v>314</v>
      </c>
      <c r="C9" t="s">
        <v>315</v>
      </c>
      <c r="D9" t="s">
        <v>305</v>
      </c>
      <c r="E9" s="541">
        <v>46.28</v>
      </c>
      <c r="F9" s="526">
        <v>11667</v>
      </c>
      <c r="G9" s="542">
        <v>539948.76</v>
      </c>
      <c r="H9" s="543">
        <v>56731</v>
      </c>
      <c r="I9" s="544"/>
      <c r="J9" s="544">
        <v>20558</v>
      </c>
      <c r="K9" s="545">
        <f t="shared" ref="K9:K24" si="1">SUM(G9:J9)</f>
        <v>617237.76000000001</v>
      </c>
      <c r="M9" s="510">
        <f>'PACT 80 Rate Budget'!J34</f>
        <v>63.206181607395571</v>
      </c>
      <c r="N9" s="530">
        <f t="shared" si="0"/>
        <v>737426.52081348409</v>
      </c>
      <c r="O9" s="530"/>
    </row>
    <row r="10" spans="1:15">
      <c r="A10" s="523" t="s">
        <v>316</v>
      </c>
      <c r="B10" s="540" t="s">
        <v>311</v>
      </c>
      <c r="C10" t="s">
        <v>317</v>
      </c>
      <c r="D10" t="s">
        <v>305</v>
      </c>
      <c r="E10" s="541">
        <v>50.13</v>
      </c>
      <c r="F10" s="526">
        <v>12622</v>
      </c>
      <c r="G10" s="542">
        <v>632740.86</v>
      </c>
      <c r="H10" s="543">
        <v>98487.28</v>
      </c>
      <c r="I10" s="544"/>
      <c r="J10" s="544">
        <v>23644</v>
      </c>
      <c r="K10" s="545">
        <f t="shared" si="1"/>
        <v>754872.14</v>
      </c>
      <c r="M10" s="510">
        <f>'PACT 50 Rate Budget'!J33</f>
        <v>72.411214456135184</v>
      </c>
      <c r="N10" s="530">
        <f t="shared" si="0"/>
        <v>913974.34886533825</v>
      </c>
      <c r="O10" s="530"/>
    </row>
    <row r="11" spans="1:15">
      <c r="A11" s="531" t="s">
        <v>318</v>
      </c>
      <c r="B11" s="546" t="s">
        <v>314</v>
      </c>
      <c r="C11" s="532" t="s">
        <v>319</v>
      </c>
      <c r="D11" s="532" t="s">
        <v>305</v>
      </c>
      <c r="E11" s="547">
        <v>46.28</v>
      </c>
      <c r="F11" s="535">
        <v>14670</v>
      </c>
      <c r="G11" s="548">
        <v>678927.6</v>
      </c>
      <c r="H11" s="549">
        <v>37000</v>
      </c>
      <c r="I11" s="550"/>
      <c r="J11" s="550">
        <v>21306</v>
      </c>
      <c r="K11" s="551">
        <f t="shared" si="1"/>
        <v>737233.6</v>
      </c>
      <c r="M11" s="510">
        <f>'PACT 80 Rate Budget'!J34</f>
        <v>63.206181607395571</v>
      </c>
      <c r="N11" s="530">
        <f t="shared" si="0"/>
        <v>927234.684180493</v>
      </c>
      <c r="O11" s="530"/>
    </row>
    <row r="12" spans="1:15">
      <c r="A12" s="523" t="s">
        <v>320</v>
      </c>
      <c r="B12" s="540" t="s">
        <v>314</v>
      </c>
      <c r="C12" s="552" t="s">
        <v>321</v>
      </c>
      <c r="D12" t="s">
        <v>305</v>
      </c>
      <c r="E12" s="541">
        <v>46.28</v>
      </c>
      <c r="F12" s="526">
        <v>19691</v>
      </c>
      <c r="G12" s="542">
        <v>911299.48</v>
      </c>
      <c r="H12" s="543">
        <v>33074.33</v>
      </c>
      <c r="I12" s="544"/>
      <c r="J12" s="544">
        <v>31677</v>
      </c>
      <c r="K12" s="545">
        <f t="shared" si="1"/>
        <v>976050.80999999994</v>
      </c>
      <c r="M12" s="510">
        <f>'PACT 80 Rate Budget'!J34</f>
        <v>63.206181607395571</v>
      </c>
      <c r="N12" s="530">
        <f t="shared" si="0"/>
        <v>1244592.9220312261</v>
      </c>
      <c r="O12" s="530"/>
    </row>
    <row r="13" spans="1:15">
      <c r="A13" s="523" t="s">
        <v>322</v>
      </c>
      <c r="B13" s="540" t="s">
        <v>314</v>
      </c>
      <c r="C13" s="552" t="s">
        <v>323</v>
      </c>
      <c r="D13" t="s">
        <v>305</v>
      </c>
      <c r="E13" s="541">
        <v>46.28</v>
      </c>
      <c r="F13" s="526">
        <v>15719</v>
      </c>
      <c r="G13" s="542">
        <v>727475.32</v>
      </c>
      <c r="H13" s="543">
        <v>37110</v>
      </c>
      <c r="I13" s="544"/>
      <c r="J13" s="544">
        <v>29983</v>
      </c>
      <c r="K13" s="545">
        <f t="shared" si="1"/>
        <v>794568.32</v>
      </c>
      <c r="M13" s="510">
        <f>'PACT 80 Rate Budget'!J34</f>
        <v>63.206181607395571</v>
      </c>
      <c r="N13" s="530">
        <f t="shared" si="0"/>
        <v>993537.96868665097</v>
      </c>
      <c r="O13" s="530"/>
    </row>
    <row r="14" spans="1:15">
      <c r="A14" s="523" t="s">
        <v>324</v>
      </c>
      <c r="B14" s="540" t="s">
        <v>314</v>
      </c>
      <c r="C14" s="552" t="s">
        <v>321</v>
      </c>
      <c r="D14" t="s">
        <v>305</v>
      </c>
      <c r="E14" s="541">
        <v>46.28</v>
      </c>
      <c r="F14" s="526">
        <v>14526</v>
      </c>
      <c r="G14" s="542">
        <v>672263.28</v>
      </c>
      <c r="H14" s="543">
        <v>26446</v>
      </c>
      <c r="I14" s="544"/>
      <c r="J14" s="544">
        <v>33986</v>
      </c>
      <c r="K14" s="545">
        <f t="shared" si="1"/>
        <v>732695.28</v>
      </c>
      <c r="M14" s="510">
        <f>'PACT 80 Rate Budget'!J34</f>
        <v>63.206181607395571</v>
      </c>
      <c r="N14" s="530">
        <f t="shared" si="0"/>
        <v>918132.99402902811</v>
      </c>
      <c r="O14" s="530"/>
    </row>
    <row r="15" spans="1:15">
      <c r="A15" s="523" t="s">
        <v>325</v>
      </c>
      <c r="B15" s="540" t="s">
        <v>311</v>
      </c>
      <c r="C15" s="553" t="s">
        <v>321</v>
      </c>
      <c r="D15" t="s">
        <v>305</v>
      </c>
      <c r="E15" s="525">
        <v>50.13</v>
      </c>
      <c r="F15" s="526">
        <v>9084</v>
      </c>
      <c r="G15" s="542">
        <v>455380.92</v>
      </c>
      <c r="H15" s="543">
        <v>85337</v>
      </c>
      <c r="I15" s="544">
        <v>244799</v>
      </c>
      <c r="J15" s="544">
        <v>12166</v>
      </c>
      <c r="K15" s="545">
        <f t="shared" si="1"/>
        <v>797682.91999999993</v>
      </c>
      <c r="M15" s="510">
        <f>'PACT 50 Rate Budget'!J33</f>
        <v>72.411214456135184</v>
      </c>
      <c r="N15" s="530">
        <f t="shared" si="0"/>
        <v>657783.47211953206</v>
      </c>
      <c r="O15" s="530"/>
    </row>
    <row r="16" spans="1:15">
      <c r="A16" s="523" t="s">
        <v>326</v>
      </c>
      <c r="B16" s="540" t="s">
        <v>314</v>
      </c>
      <c r="C16" s="552" t="s">
        <v>321</v>
      </c>
      <c r="D16" t="s">
        <v>305</v>
      </c>
      <c r="E16" s="541">
        <v>46.28</v>
      </c>
      <c r="F16" s="526">
        <v>19155</v>
      </c>
      <c r="G16" s="542">
        <v>886493.4</v>
      </c>
      <c r="H16" s="543">
        <v>91243.77</v>
      </c>
      <c r="I16" s="544"/>
      <c r="J16" s="544">
        <v>30829</v>
      </c>
      <c r="K16" s="545">
        <f t="shared" si="1"/>
        <v>1008566.17</v>
      </c>
      <c r="M16" s="510">
        <f>'PACT 80 Rate Budget'!J34</f>
        <v>63.206181607395571</v>
      </c>
      <c r="N16" s="530">
        <f t="shared" si="0"/>
        <v>1210714.4086896621</v>
      </c>
      <c r="O16" s="530"/>
    </row>
    <row r="17" spans="1:16">
      <c r="A17" s="531" t="s">
        <v>327</v>
      </c>
      <c r="B17" s="546" t="s">
        <v>314</v>
      </c>
      <c r="C17" s="554" t="s">
        <v>328</v>
      </c>
      <c r="D17" s="532" t="s">
        <v>305</v>
      </c>
      <c r="E17" s="534">
        <v>46.28</v>
      </c>
      <c r="F17" s="535">
        <v>20657</v>
      </c>
      <c r="G17" s="548">
        <v>956005.96</v>
      </c>
      <c r="H17" s="549">
        <v>10265</v>
      </c>
      <c r="I17" s="550"/>
      <c r="J17" s="550">
        <v>30318</v>
      </c>
      <c r="K17" s="551">
        <f t="shared" si="1"/>
        <v>996588.96</v>
      </c>
      <c r="M17" s="510">
        <f>'PACT 80 Rate Budget'!J34</f>
        <v>63.206181607395571</v>
      </c>
      <c r="N17" s="530">
        <f t="shared" si="0"/>
        <v>1305650.0934639703</v>
      </c>
      <c r="O17" s="530"/>
    </row>
    <row r="18" spans="1:16">
      <c r="A18" s="523" t="s">
        <v>329</v>
      </c>
      <c r="B18" s="540" t="s">
        <v>314</v>
      </c>
      <c r="C18" t="s">
        <v>330</v>
      </c>
      <c r="D18" t="s">
        <v>305</v>
      </c>
      <c r="E18" s="541">
        <v>46.28</v>
      </c>
      <c r="F18" s="526">
        <v>20530</v>
      </c>
      <c r="G18" s="542">
        <v>950128.4</v>
      </c>
      <c r="H18" s="543">
        <v>21571.93</v>
      </c>
      <c r="I18" s="544"/>
      <c r="J18" s="544">
        <v>24451</v>
      </c>
      <c r="K18" s="545">
        <f t="shared" si="1"/>
        <v>996151.33000000007</v>
      </c>
      <c r="M18" s="510">
        <f>'PACT 80 Rate Budget'!J34</f>
        <v>63.206181607395571</v>
      </c>
      <c r="N18" s="530">
        <f t="shared" si="0"/>
        <v>1297622.908399831</v>
      </c>
      <c r="O18" s="530"/>
    </row>
    <row r="19" spans="1:16">
      <c r="A19" s="523" t="s">
        <v>331</v>
      </c>
      <c r="B19" s="540" t="s">
        <v>314</v>
      </c>
      <c r="C19" t="s">
        <v>332</v>
      </c>
      <c r="D19" t="s">
        <v>305</v>
      </c>
      <c r="E19" s="525">
        <v>46.28</v>
      </c>
      <c r="F19" s="526">
        <v>23313</v>
      </c>
      <c r="G19" s="542">
        <v>1078925.6399999999</v>
      </c>
      <c r="H19" s="543">
        <v>25000</v>
      </c>
      <c r="I19" s="544"/>
      <c r="J19" s="544">
        <v>23469</v>
      </c>
      <c r="K19" s="545">
        <f t="shared" si="1"/>
        <v>1127394.6399999999</v>
      </c>
      <c r="M19" s="510">
        <f>'PACT 80 Rate Budget'!J34</f>
        <v>63.206181607395571</v>
      </c>
      <c r="N19" s="530">
        <f t="shared" si="0"/>
        <v>1473525.7118132128</v>
      </c>
      <c r="O19" s="530"/>
    </row>
    <row r="20" spans="1:16">
      <c r="A20" s="523" t="s">
        <v>333</v>
      </c>
      <c r="B20" s="540" t="s">
        <v>314</v>
      </c>
      <c r="C20" t="s">
        <v>323</v>
      </c>
      <c r="D20" t="s">
        <v>305</v>
      </c>
      <c r="E20" s="541">
        <v>46.28</v>
      </c>
      <c r="F20" s="526">
        <v>22144</v>
      </c>
      <c r="G20" s="542">
        <v>1024824.3199999999</v>
      </c>
      <c r="H20" s="543">
        <v>4073.58</v>
      </c>
      <c r="I20" s="544"/>
      <c r="J20" s="544">
        <v>26178</v>
      </c>
      <c r="K20" s="545">
        <f t="shared" si="1"/>
        <v>1055075.8999999999</v>
      </c>
      <c r="M20" s="510">
        <f>'PACT 80 Rate Budget'!J34</f>
        <v>63.206181607395571</v>
      </c>
      <c r="N20" s="530">
        <f t="shared" si="0"/>
        <v>1399637.6855141674</v>
      </c>
      <c r="O20" s="530"/>
    </row>
    <row r="21" spans="1:16">
      <c r="A21" s="523" t="s">
        <v>334</v>
      </c>
      <c r="B21" s="540" t="s">
        <v>314</v>
      </c>
      <c r="C21" t="s">
        <v>330</v>
      </c>
      <c r="D21" t="s">
        <v>305</v>
      </c>
      <c r="E21" s="525">
        <v>46.28</v>
      </c>
      <c r="F21" s="526">
        <v>13113</v>
      </c>
      <c r="G21" s="542">
        <v>606869.64</v>
      </c>
      <c r="H21" s="543">
        <v>51836.15</v>
      </c>
      <c r="I21" s="544"/>
      <c r="J21" s="544">
        <v>21944</v>
      </c>
      <c r="K21" s="545">
        <f t="shared" si="1"/>
        <v>680649.79</v>
      </c>
      <c r="M21" s="510">
        <f>'PACT 80 Rate Budget'!J34</f>
        <v>63.206181607395571</v>
      </c>
      <c r="N21" s="530">
        <f t="shared" si="0"/>
        <v>828822.65941777814</v>
      </c>
      <c r="O21" s="530"/>
    </row>
    <row r="22" spans="1:16">
      <c r="A22" s="523" t="s">
        <v>335</v>
      </c>
      <c r="B22" s="540" t="s">
        <v>314</v>
      </c>
      <c r="C22" t="s">
        <v>323</v>
      </c>
      <c r="D22" t="s">
        <v>305</v>
      </c>
      <c r="E22" s="541">
        <v>46.28</v>
      </c>
      <c r="F22" s="526">
        <v>20386</v>
      </c>
      <c r="G22" s="542">
        <v>943464.08</v>
      </c>
      <c r="H22" s="543">
        <v>25000</v>
      </c>
      <c r="I22" s="544"/>
      <c r="J22" s="544">
        <v>25445</v>
      </c>
      <c r="K22" s="545">
        <f t="shared" si="1"/>
        <v>993909.08</v>
      </c>
      <c r="M22" s="510">
        <f>'PACT 80 Rate Budget'!J34</f>
        <v>63.206181607395571</v>
      </c>
      <c r="N22" s="530">
        <f t="shared" si="0"/>
        <v>1288521.2182483661</v>
      </c>
      <c r="O22" s="530"/>
    </row>
    <row r="23" spans="1:16">
      <c r="A23" s="531" t="s">
        <v>336</v>
      </c>
      <c r="B23" s="546" t="s">
        <v>311</v>
      </c>
      <c r="C23" s="532" t="s">
        <v>323</v>
      </c>
      <c r="D23" s="532" t="s">
        <v>305</v>
      </c>
      <c r="E23" s="534">
        <v>50.13</v>
      </c>
      <c r="F23" s="535">
        <v>14702</v>
      </c>
      <c r="G23" s="548">
        <v>737011.26</v>
      </c>
      <c r="H23" s="549">
        <v>6903.03</v>
      </c>
      <c r="I23" s="550"/>
      <c r="J23" s="550">
        <v>22185</v>
      </c>
      <c r="K23" s="551">
        <f t="shared" si="1"/>
        <v>766099.29</v>
      </c>
      <c r="M23" s="510">
        <f>'PACT 50 Rate Budget'!J33</f>
        <v>72.411214456135184</v>
      </c>
      <c r="N23" s="530">
        <f t="shared" si="0"/>
        <v>1064589.6749340994</v>
      </c>
      <c r="O23" s="530"/>
    </row>
    <row r="24" spans="1:16" ht="15.75" thickBot="1">
      <c r="A24" s="555" t="s">
        <v>337</v>
      </c>
      <c r="B24" s="556" t="s">
        <v>314</v>
      </c>
      <c r="C24" s="557" t="s">
        <v>338</v>
      </c>
      <c r="D24" s="558" t="s">
        <v>305</v>
      </c>
      <c r="E24" s="559">
        <v>46.28</v>
      </c>
      <c r="F24" s="560">
        <v>15583</v>
      </c>
      <c r="G24" s="561">
        <v>721181.24</v>
      </c>
      <c r="H24" s="562">
        <v>10852.68</v>
      </c>
      <c r="I24" s="563"/>
      <c r="J24" s="544">
        <v>21196</v>
      </c>
      <c r="K24" s="545">
        <f t="shared" si="1"/>
        <v>753229.92</v>
      </c>
      <c r="M24" s="564">
        <f>'PACT 80 Rate Budget'!J34</f>
        <v>63.206181607395571</v>
      </c>
      <c r="N24" s="565">
        <f t="shared" si="0"/>
        <v>984941.92798804515</v>
      </c>
      <c r="O24" s="565"/>
    </row>
    <row r="25" spans="1:16" ht="15.75" thickBot="1">
      <c r="F25" s="566">
        <f>SUM(F6:F24)</f>
        <v>286467</v>
      </c>
      <c r="G25" s="567">
        <f t="shared" ref="G25:I25" si="2">SUM(G6:G24)</f>
        <v>14015968.040000003</v>
      </c>
      <c r="H25" s="568">
        <f t="shared" si="2"/>
        <v>727127.42</v>
      </c>
      <c r="I25" s="569">
        <f t="shared" si="2"/>
        <v>244799</v>
      </c>
      <c r="J25" s="570">
        <f>SUM(J6:J24)</f>
        <v>444961</v>
      </c>
      <c r="K25" s="571">
        <f>SUM(K7:K24)</f>
        <v>15432855.460000003</v>
      </c>
      <c r="N25" s="572"/>
      <c r="O25" s="530"/>
      <c r="P25" s="573"/>
    </row>
    <row r="26" spans="1:16" ht="15.75" thickBot="1">
      <c r="G26" s="834">
        <f>G25+H25+I25</f>
        <v>14987894.460000003</v>
      </c>
      <c r="H26" s="835"/>
      <c r="I26" s="836"/>
      <c r="N26" s="530"/>
    </row>
    <row r="29" spans="1:16">
      <c r="G29" s="508" t="s">
        <v>339</v>
      </c>
      <c r="H29" s="572">
        <f>G25+J25</f>
        <v>14460929.040000003</v>
      </c>
      <c r="M29" t="s">
        <v>301</v>
      </c>
      <c r="N29" s="574">
        <f>SUM(N6:N28)</f>
        <v>19459204.952739619</v>
      </c>
    </row>
    <row r="30" spans="1:16" ht="23.25">
      <c r="A30" s="837" t="s">
        <v>340</v>
      </c>
      <c r="B30" s="837"/>
      <c r="C30" s="837"/>
      <c r="D30" s="837"/>
      <c r="E30" s="837"/>
      <c r="F30" s="837"/>
      <c r="G30" s="837"/>
      <c r="H30" s="837"/>
      <c r="M30" s="510" t="s">
        <v>341</v>
      </c>
      <c r="N30" s="530">
        <f>N29-H29</f>
        <v>4998275.9127396159</v>
      </c>
    </row>
    <row r="31" spans="1:16">
      <c r="J31" s="530">
        <f>N29-G25</f>
        <v>5443236.9127396159</v>
      </c>
    </row>
    <row r="32" spans="1:16">
      <c r="J32" s="573">
        <f>(N29-G25)/G25</f>
        <v>0.38835968355558653</v>
      </c>
    </row>
    <row r="33" spans="2:13" s="577" customFormat="1" ht="56.25">
      <c r="B33" s="575" t="s">
        <v>342</v>
      </c>
      <c r="C33" s="575" t="s">
        <v>343</v>
      </c>
      <c r="D33" s="575" t="s">
        <v>344</v>
      </c>
      <c r="E33" s="576"/>
      <c r="F33" s="576" t="s">
        <v>345</v>
      </c>
      <c r="G33" s="576" t="s">
        <v>346</v>
      </c>
      <c r="H33" s="576" t="s">
        <v>341</v>
      </c>
      <c r="M33" s="578"/>
    </row>
    <row r="34" spans="2:13" s="582" customFormat="1" ht="18.75">
      <c r="B34" s="579" t="s">
        <v>311</v>
      </c>
      <c r="C34" s="580">
        <f>3710*2</f>
        <v>7420</v>
      </c>
      <c r="D34" s="581">
        <f>188155*2</f>
        <v>376310</v>
      </c>
      <c r="F34" s="583">
        <f>'PACT 50 Rate Budget'!J35</f>
        <v>0</v>
      </c>
      <c r="G34" s="581">
        <f>D34*(F34+1)</f>
        <v>376310</v>
      </c>
      <c r="H34" s="584">
        <f>G34-D34</f>
        <v>0</v>
      </c>
      <c r="M34" s="585"/>
    </row>
    <row r="35" spans="2:13" s="582" customFormat="1" ht="18.75">
      <c r="B35" s="579" t="s">
        <v>314</v>
      </c>
      <c r="C35" s="580">
        <f>37013*2</f>
        <v>74026</v>
      </c>
      <c r="D35" s="581">
        <f>1743510*2</f>
        <v>3487020</v>
      </c>
      <c r="F35" s="583">
        <f>'PACT 80 Rate Budget'!J36</f>
        <v>0</v>
      </c>
      <c r="G35" s="581">
        <f t="shared" ref="G35:G36" si="3">D35*(F35+1)</f>
        <v>3487020</v>
      </c>
      <c r="H35" s="584">
        <f t="shared" ref="H35:H36" si="4">G35-D35</f>
        <v>0</v>
      </c>
      <c r="M35" s="585"/>
    </row>
    <row r="36" spans="2:13" s="582" customFormat="1" ht="19.5" thickBot="1">
      <c r="B36" s="586" t="s">
        <v>263</v>
      </c>
      <c r="C36" s="580">
        <f>3183*2</f>
        <v>6366</v>
      </c>
      <c r="D36" s="587">
        <f>232572*2</f>
        <v>465144</v>
      </c>
      <c r="F36" s="583">
        <f>'Forensic PACT Rate Budget'!J35</f>
        <v>0</v>
      </c>
      <c r="G36" s="587">
        <f t="shared" si="3"/>
        <v>465144</v>
      </c>
      <c r="H36" s="588">
        <f t="shared" si="4"/>
        <v>0</v>
      </c>
      <c r="M36" s="585"/>
    </row>
    <row r="37" spans="2:13" s="582" customFormat="1" ht="19.5" thickTop="1">
      <c r="D37" s="584">
        <f>SUM(D34:D36)</f>
        <v>4328474</v>
      </c>
      <c r="G37" s="584">
        <f>SUM(G34:G36)</f>
        <v>4328474</v>
      </c>
      <c r="H37" s="589">
        <f>G37-D37</f>
        <v>0</v>
      </c>
      <c r="I37" s="590">
        <f>(G37-D37)/D37</f>
        <v>0</v>
      </c>
      <c r="M37" s="585"/>
    </row>
    <row r="38" spans="2:13" s="582" customFormat="1" ht="18.75">
      <c r="M38" s="585"/>
    </row>
    <row r="39" spans="2:13" s="582" customFormat="1" ht="18.75">
      <c r="M39" s="585"/>
    </row>
    <row r="40" spans="2:13" s="582" customFormat="1" ht="18.75">
      <c r="M40" s="585"/>
    </row>
  </sheetData>
  <mergeCells count="3">
    <mergeCell ref="H6:H7"/>
    <mergeCell ref="G26:I26"/>
    <mergeCell ref="A30:H30"/>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18DE-3204-4634-962D-4EA1028385F8}">
  <sheetPr>
    <pageSetUpPr fitToPage="1"/>
  </sheetPr>
  <dimension ref="B1:F50"/>
  <sheetViews>
    <sheetView showGridLines="0" zoomScale="60" zoomScaleNormal="60" workbookViewId="0">
      <selection activeCell="C28" sqref="C28"/>
    </sheetView>
  </sheetViews>
  <sheetFormatPr defaultRowHeight="26.25"/>
  <cols>
    <col min="1" max="1" width="5.5703125" style="41" customWidth="1"/>
    <col min="2" max="2" width="58" style="41" customWidth="1"/>
    <col min="3" max="3" width="24.140625" style="41" customWidth="1"/>
    <col min="4" max="4" width="69.140625" style="41" customWidth="1"/>
    <col min="5" max="5" width="75.85546875" style="43" customWidth="1"/>
    <col min="6" max="6" width="44" style="43" customWidth="1"/>
    <col min="7" max="243" width="8.7109375" style="41"/>
    <col min="244" max="244" width="5.5703125" style="41" customWidth="1"/>
    <col min="245" max="245" width="58" style="41" customWidth="1"/>
    <col min="246" max="246" width="24.140625" style="41" customWidth="1"/>
    <col min="247" max="248" width="0" style="41" hidden="1" customWidth="1"/>
    <col min="249" max="249" width="61.42578125" style="41" customWidth="1"/>
    <col min="250" max="250" width="62.140625" style="41" customWidth="1"/>
    <col min="251" max="254" width="0" style="41" hidden="1" customWidth="1"/>
    <col min="255" max="499" width="8.7109375" style="41"/>
    <col min="500" max="500" width="5.5703125" style="41" customWidth="1"/>
    <col min="501" max="501" width="58" style="41" customWidth="1"/>
    <col min="502" max="502" width="24.140625" style="41" customWidth="1"/>
    <col min="503" max="504" width="0" style="41" hidden="1" customWidth="1"/>
    <col min="505" max="505" width="61.42578125" style="41" customWidth="1"/>
    <col min="506" max="506" width="62.140625" style="41" customWidth="1"/>
    <col min="507" max="510" width="0" style="41" hidden="1" customWidth="1"/>
    <col min="511" max="755" width="8.7109375" style="41"/>
    <col min="756" max="756" width="5.5703125" style="41" customWidth="1"/>
    <col min="757" max="757" width="58" style="41" customWidth="1"/>
    <col min="758" max="758" width="24.140625" style="41" customWidth="1"/>
    <col min="759" max="760" width="0" style="41" hidden="1" customWidth="1"/>
    <col min="761" max="761" width="61.42578125" style="41" customWidth="1"/>
    <col min="762" max="762" width="62.140625" style="41" customWidth="1"/>
    <col min="763" max="766" width="0" style="41" hidden="1" customWidth="1"/>
    <col min="767" max="1011" width="8.7109375" style="41"/>
    <col min="1012" max="1012" width="5.5703125" style="41" customWidth="1"/>
    <col min="1013" max="1013" width="58" style="41" customWidth="1"/>
    <col min="1014" max="1014" width="24.140625" style="41" customWidth="1"/>
    <col min="1015" max="1016" width="0" style="41" hidden="1" customWidth="1"/>
    <col min="1017" max="1017" width="61.42578125" style="41" customWidth="1"/>
    <col min="1018" max="1018" width="62.140625" style="41" customWidth="1"/>
    <col min="1019" max="1022" width="0" style="41" hidden="1" customWidth="1"/>
    <col min="1023" max="1267" width="8.7109375" style="41"/>
    <col min="1268" max="1268" width="5.5703125" style="41" customWidth="1"/>
    <col min="1269" max="1269" width="58" style="41" customWidth="1"/>
    <col min="1270" max="1270" width="24.140625" style="41" customWidth="1"/>
    <col min="1271" max="1272" width="0" style="41" hidden="1" customWidth="1"/>
    <col min="1273" max="1273" width="61.42578125" style="41" customWidth="1"/>
    <col min="1274" max="1274" width="62.140625" style="41" customWidth="1"/>
    <col min="1275" max="1278" width="0" style="41" hidden="1" customWidth="1"/>
    <col min="1279" max="1523" width="8.7109375" style="41"/>
    <col min="1524" max="1524" width="5.5703125" style="41" customWidth="1"/>
    <col min="1525" max="1525" width="58" style="41" customWidth="1"/>
    <col min="1526" max="1526" width="24.140625" style="41" customWidth="1"/>
    <col min="1527" max="1528" width="0" style="41" hidden="1" customWidth="1"/>
    <col min="1529" max="1529" width="61.42578125" style="41" customWidth="1"/>
    <col min="1530" max="1530" width="62.140625" style="41" customWidth="1"/>
    <col min="1531" max="1534" width="0" style="41" hidden="1" customWidth="1"/>
    <col min="1535" max="1779" width="8.7109375" style="41"/>
    <col min="1780" max="1780" width="5.5703125" style="41" customWidth="1"/>
    <col min="1781" max="1781" width="58" style="41" customWidth="1"/>
    <col min="1782" max="1782" width="24.140625" style="41" customWidth="1"/>
    <col min="1783" max="1784" width="0" style="41" hidden="1" customWidth="1"/>
    <col min="1785" max="1785" width="61.42578125" style="41" customWidth="1"/>
    <col min="1786" max="1786" width="62.140625" style="41" customWidth="1"/>
    <col min="1787" max="1790" width="0" style="41" hidden="1" customWidth="1"/>
    <col min="1791" max="2035" width="8.7109375" style="41"/>
    <col min="2036" max="2036" width="5.5703125" style="41" customWidth="1"/>
    <col min="2037" max="2037" width="58" style="41" customWidth="1"/>
    <col min="2038" max="2038" width="24.140625" style="41" customWidth="1"/>
    <col min="2039" max="2040" width="0" style="41" hidden="1" customWidth="1"/>
    <col min="2041" max="2041" width="61.42578125" style="41" customWidth="1"/>
    <col min="2042" max="2042" width="62.140625" style="41" customWidth="1"/>
    <col min="2043" max="2046" width="0" style="41" hidden="1" customWidth="1"/>
    <col min="2047" max="2291" width="8.7109375" style="41"/>
    <col min="2292" max="2292" width="5.5703125" style="41" customWidth="1"/>
    <col min="2293" max="2293" width="58" style="41" customWidth="1"/>
    <col min="2294" max="2294" width="24.140625" style="41" customWidth="1"/>
    <col min="2295" max="2296" width="0" style="41" hidden="1" customWidth="1"/>
    <col min="2297" max="2297" width="61.42578125" style="41" customWidth="1"/>
    <col min="2298" max="2298" width="62.140625" style="41" customWidth="1"/>
    <col min="2299" max="2302" width="0" style="41" hidden="1" customWidth="1"/>
    <col min="2303" max="2547" width="8.7109375" style="41"/>
    <col min="2548" max="2548" width="5.5703125" style="41" customWidth="1"/>
    <col min="2549" max="2549" width="58" style="41" customWidth="1"/>
    <col min="2550" max="2550" width="24.140625" style="41" customWidth="1"/>
    <col min="2551" max="2552" width="0" style="41" hidden="1" customWidth="1"/>
    <col min="2553" max="2553" width="61.42578125" style="41" customWidth="1"/>
    <col min="2554" max="2554" width="62.140625" style="41" customWidth="1"/>
    <col min="2555" max="2558" width="0" style="41" hidden="1" customWidth="1"/>
    <col min="2559" max="2803" width="8.7109375" style="41"/>
    <col min="2804" max="2804" width="5.5703125" style="41" customWidth="1"/>
    <col min="2805" max="2805" width="58" style="41" customWidth="1"/>
    <col min="2806" max="2806" width="24.140625" style="41" customWidth="1"/>
    <col min="2807" max="2808" width="0" style="41" hidden="1" customWidth="1"/>
    <col min="2809" max="2809" width="61.42578125" style="41" customWidth="1"/>
    <col min="2810" max="2810" width="62.140625" style="41" customWidth="1"/>
    <col min="2811" max="2814" width="0" style="41" hidden="1" customWidth="1"/>
    <col min="2815" max="3059" width="8.7109375" style="41"/>
    <col min="3060" max="3060" width="5.5703125" style="41" customWidth="1"/>
    <col min="3061" max="3061" width="58" style="41" customWidth="1"/>
    <col min="3062" max="3062" width="24.140625" style="41" customWidth="1"/>
    <col min="3063" max="3064" width="0" style="41" hidden="1" customWidth="1"/>
    <col min="3065" max="3065" width="61.42578125" style="41" customWidth="1"/>
    <col min="3066" max="3066" width="62.140625" style="41" customWidth="1"/>
    <col min="3067" max="3070" width="0" style="41" hidden="1" customWidth="1"/>
    <col min="3071" max="3315" width="8.7109375" style="41"/>
    <col min="3316" max="3316" width="5.5703125" style="41" customWidth="1"/>
    <col min="3317" max="3317" width="58" style="41" customWidth="1"/>
    <col min="3318" max="3318" width="24.140625" style="41" customWidth="1"/>
    <col min="3319" max="3320" width="0" style="41" hidden="1" customWidth="1"/>
    <col min="3321" max="3321" width="61.42578125" style="41" customWidth="1"/>
    <col min="3322" max="3322" width="62.140625" style="41" customWidth="1"/>
    <col min="3323" max="3326" width="0" style="41" hidden="1" customWidth="1"/>
    <col min="3327" max="3571" width="8.7109375" style="41"/>
    <col min="3572" max="3572" width="5.5703125" style="41" customWidth="1"/>
    <col min="3573" max="3573" width="58" style="41" customWidth="1"/>
    <col min="3574" max="3574" width="24.140625" style="41" customWidth="1"/>
    <col min="3575" max="3576" width="0" style="41" hidden="1" customWidth="1"/>
    <col min="3577" max="3577" width="61.42578125" style="41" customWidth="1"/>
    <col min="3578" max="3578" width="62.140625" style="41" customWidth="1"/>
    <col min="3579" max="3582" width="0" style="41" hidden="1" customWidth="1"/>
    <col min="3583" max="3827" width="8.7109375" style="41"/>
    <col min="3828" max="3828" width="5.5703125" style="41" customWidth="1"/>
    <col min="3829" max="3829" width="58" style="41" customWidth="1"/>
    <col min="3830" max="3830" width="24.140625" style="41" customWidth="1"/>
    <col min="3831" max="3832" width="0" style="41" hidden="1" customWidth="1"/>
    <col min="3833" max="3833" width="61.42578125" style="41" customWidth="1"/>
    <col min="3834" max="3834" width="62.140625" style="41" customWidth="1"/>
    <col min="3835" max="3838" width="0" style="41" hidden="1" customWidth="1"/>
    <col min="3839" max="4083" width="8.7109375" style="41"/>
    <col min="4084" max="4084" width="5.5703125" style="41" customWidth="1"/>
    <col min="4085" max="4085" width="58" style="41" customWidth="1"/>
    <col min="4086" max="4086" width="24.140625" style="41" customWidth="1"/>
    <col min="4087" max="4088" width="0" style="41" hidden="1" customWidth="1"/>
    <col min="4089" max="4089" width="61.42578125" style="41" customWidth="1"/>
    <col min="4090" max="4090" width="62.140625" style="41" customWidth="1"/>
    <col min="4091" max="4094" width="0" style="41" hidden="1" customWidth="1"/>
    <col min="4095" max="4339" width="8.7109375" style="41"/>
    <col min="4340" max="4340" width="5.5703125" style="41" customWidth="1"/>
    <col min="4341" max="4341" width="58" style="41" customWidth="1"/>
    <col min="4342" max="4342" width="24.140625" style="41" customWidth="1"/>
    <col min="4343" max="4344" width="0" style="41" hidden="1" customWidth="1"/>
    <col min="4345" max="4345" width="61.42578125" style="41" customWidth="1"/>
    <col min="4346" max="4346" width="62.140625" style="41" customWidth="1"/>
    <col min="4347" max="4350" width="0" style="41" hidden="1" customWidth="1"/>
    <col min="4351" max="4595" width="8.7109375" style="41"/>
    <col min="4596" max="4596" width="5.5703125" style="41" customWidth="1"/>
    <col min="4597" max="4597" width="58" style="41" customWidth="1"/>
    <col min="4598" max="4598" width="24.140625" style="41" customWidth="1"/>
    <col min="4599" max="4600" width="0" style="41" hidden="1" customWidth="1"/>
    <col min="4601" max="4601" width="61.42578125" style="41" customWidth="1"/>
    <col min="4602" max="4602" width="62.140625" style="41" customWidth="1"/>
    <col min="4603" max="4606" width="0" style="41" hidden="1" customWidth="1"/>
    <col min="4607" max="4851" width="8.7109375" style="41"/>
    <col min="4852" max="4852" width="5.5703125" style="41" customWidth="1"/>
    <col min="4853" max="4853" width="58" style="41" customWidth="1"/>
    <col min="4854" max="4854" width="24.140625" style="41" customWidth="1"/>
    <col min="4855" max="4856" width="0" style="41" hidden="1" customWidth="1"/>
    <col min="4857" max="4857" width="61.42578125" style="41" customWidth="1"/>
    <col min="4858" max="4858" width="62.140625" style="41" customWidth="1"/>
    <col min="4859" max="4862" width="0" style="41" hidden="1" customWidth="1"/>
    <col min="4863" max="5107" width="8.7109375" style="41"/>
    <col min="5108" max="5108" width="5.5703125" style="41" customWidth="1"/>
    <col min="5109" max="5109" width="58" style="41" customWidth="1"/>
    <col min="5110" max="5110" width="24.140625" style="41" customWidth="1"/>
    <col min="5111" max="5112" width="0" style="41" hidden="1" customWidth="1"/>
    <col min="5113" max="5113" width="61.42578125" style="41" customWidth="1"/>
    <col min="5114" max="5114" width="62.140625" style="41" customWidth="1"/>
    <col min="5115" max="5118" width="0" style="41" hidden="1" customWidth="1"/>
    <col min="5119" max="5363" width="8.7109375" style="41"/>
    <col min="5364" max="5364" width="5.5703125" style="41" customWidth="1"/>
    <col min="5365" max="5365" width="58" style="41" customWidth="1"/>
    <col min="5366" max="5366" width="24.140625" style="41" customWidth="1"/>
    <col min="5367" max="5368" width="0" style="41" hidden="1" customWidth="1"/>
    <col min="5369" max="5369" width="61.42578125" style="41" customWidth="1"/>
    <col min="5370" max="5370" width="62.140625" style="41" customWidth="1"/>
    <col min="5371" max="5374" width="0" style="41" hidden="1" customWidth="1"/>
    <col min="5375" max="5619" width="8.7109375" style="41"/>
    <col min="5620" max="5620" width="5.5703125" style="41" customWidth="1"/>
    <col min="5621" max="5621" width="58" style="41" customWidth="1"/>
    <col min="5622" max="5622" width="24.140625" style="41" customWidth="1"/>
    <col min="5623" max="5624" width="0" style="41" hidden="1" customWidth="1"/>
    <col min="5625" max="5625" width="61.42578125" style="41" customWidth="1"/>
    <col min="5626" max="5626" width="62.140625" style="41" customWidth="1"/>
    <col min="5627" max="5630" width="0" style="41" hidden="1" customWidth="1"/>
    <col min="5631" max="5875" width="8.7109375" style="41"/>
    <col min="5876" max="5876" width="5.5703125" style="41" customWidth="1"/>
    <col min="5877" max="5877" width="58" style="41" customWidth="1"/>
    <col min="5878" max="5878" width="24.140625" style="41" customWidth="1"/>
    <col min="5879" max="5880" width="0" style="41" hidden="1" customWidth="1"/>
    <col min="5881" max="5881" width="61.42578125" style="41" customWidth="1"/>
    <col min="5882" max="5882" width="62.140625" style="41" customWidth="1"/>
    <col min="5883" max="5886" width="0" style="41" hidden="1" customWidth="1"/>
    <col min="5887" max="6131" width="8.7109375" style="41"/>
    <col min="6132" max="6132" width="5.5703125" style="41" customWidth="1"/>
    <col min="6133" max="6133" width="58" style="41" customWidth="1"/>
    <col min="6134" max="6134" width="24.140625" style="41" customWidth="1"/>
    <col min="6135" max="6136" width="0" style="41" hidden="1" customWidth="1"/>
    <col min="6137" max="6137" width="61.42578125" style="41" customWidth="1"/>
    <col min="6138" max="6138" width="62.140625" style="41" customWidth="1"/>
    <col min="6139" max="6142" width="0" style="41" hidden="1" customWidth="1"/>
    <col min="6143" max="6387" width="8.7109375" style="41"/>
    <col min="6388" max="6388" width="5.5703125" style="41" customWidth="1"/>
    <col min="6389" max="6389" width="58" style="41" customWidth="1"/>
    <col min="6390" max="6390" width="24.140625" style="41" customWidth="1"/>
    <col min="6391" max="6392" width="0" style="41" hidden="1" customWidth="1"/>
    <col min="6393" max="6393" width="61.42578125" style="41" customWidth="1"/>
    <col min="6394" max="6394" width="62.140625" style="41" customWidth="1"/>
    <col min="6395" max="6398" width="0" style="41" hidden="1" customWidth="1"/>
    <col min="6399" max="6643" width="8.7109375" style="41"/>
    <col min="6644" max="6644" width="5.5703125" style="41" customWidth="1"/>
    <col min="6645" max="6645" width="58" style="41" customWidth="1"/>
    <col min="6646" max="6646" width="24.140625" style="41" customWidth="1"/>
    <col min="6647" max="6648" width="0" style="41" hidden="1" customWidth="1"/>
    <col min="6649" max="6649" width="61.42578125" style="41" customWidth="1"/>
    <col min="6650" max="6650" width="62.140625" style="41" customWidth="1"/>
    <col min="6651" max="6654" width="0" style="41" hidden="1" customWidth="1"/>
    <col min="6655" max="6899" width="8.7109375" style="41"/>
    <col min="6900" max="6900" width="5.5703125" style="41" customWidth="1"/>
    <col min="6901" max="6901" width="58" style="41" customWidth="1"/>
    <col min="6902" max="6902" width="24.140625" style="41" customWidth="1"/>
    <col min="6903" max="6904" width="0" style="41" hidden="1" customWidth="1"/>
    <col min="6905" max="6905" width="61.42578125" style="41" customWidth="1"/>
    <col min="6906" max="6906" width="62.140625" style="41" customWidth="1"/>
    <col min="6907" max="6910" width="0" style="41" hidden="1" customWidth="1"/>
    <col min="6911" max="7155" width="8.7109375" style="41"/>
    <col min="7156" max="7156" width="5.5703125" style="41" customWidth="1"/>
    <col min="7157" max="7157" width="58" style="41" customWidth="1"/>
    <col min="7158" max="7158" width="24.140625" style="41" customWidth="1"/>
    <col min="7159" max="7160" width="0" style="41" hidden="1" customWidth="1"/>
    <col min="7161" max="7161" width="61.42578125" style="41" customWidth="1"/>
    <col min="7162" max="7162" width="62.140625" style="41" customWidth="1"/>
    <col min="7163" max="7166" width="0" style="41" hidden="1" customWidth="1"/>
    <col min="7167" max="7411" width="8.7109375" style="41"/>
    <col min="7412" max="7412" width="5.5703125" style="41" customWidth="1"/>
    <col min="7413" max="7413" width="58" style="41" customWidth="1"/>
    <col min="7414" max="7414" width="24.140625" style="41" customWidth="1"/>
    <col min="7415" max="7416" width="0" style="41" hidden="1" customWidth="1"/>
    <col min="7417" max="7417" width="61.42578125" style="41" customWidth="1"/>
    <col min="7418" max="7418" width="62.140625" style="41" customWidth="1"/>
    <col min="7419" max="7422" width="0" style="41" hidden="1" customWidth="1"/>
    <col min="7423" max="7667" width="8.7109375" style="41"/>
    <col min="7668" max="7668" width="5.5703125" style="41" customWidth="1"/>
    <col min="7669" max="7669" width="58" style="41" customWidth="1"/>
    <col min="7670" max="7670" width="24.140625" style="41" customWidth="1"/>
    <col min="7671" max="7672" width="0" style="41" hidden="1" customWidth="1"/>
    <col min="7673" max="7673" width="61.42578125" style="41" customWidth="1"/>
    <col min="7674" max="7674" width="62.140625" style="41" customWidth="1"/>
    <col min="7675" max="7678" width="0" style="41" hidden="1" customWidth="1"/>
    <col min="7679" max="7923" width="8.7109375" style="41"/>
    <col min="7924" max="7924" width="5.5703125" style="41" customWidth="1"/>
    <col min="7925" max="7925" width="58" style="41" customWidth="1"/>
    <col min="7926" max="7926" width="24.140625" style="41" customWidth="1"/>
    <col min="7927" max="7928" width="0" style="41" hidden="1" customWidth="1"/>
    <col min="7929" max="7929" width="61.42578125" style="41" customWidth="1"/>
    <col min="7930" max="7930" width="62.140625" style="41" customWidth="1"/>
    <col min="7931" max="7934" width="0" style="41" hidden="1" customWidth="1"/>
    <col min="7935" max="8179" width="8.7109375" style="41"/>
    <col min="8180" max="8180" width="5.5703125" style="41" customWidth="1"/>
    <col min="8181" max="8181" width="58" style="41" customWidth="1"/>
    <col min="8182" max="8182" width="24.140625" style="41" customWidth="1"/>
    <col min="8183" max="8184" width="0" style="41" hidden="1" customWidth="1"/>
    <col min="8185" max="8185" width="61.42578125" style="41" customWidth="1"/>
    <col min="8186" max="8186" width="62.140625" style="41" customWidth="1"/>
    <col min="8187" max="8190" width="0" style="41" hidden="1" customWidth="1"/>
    <col min="8191" max="8435" width="8.7109375" style="41"/>
    <col min="8436" max="8436" width="5.5703125" style="41" customWidth="1"/>
    <col min="8437" max="8437" width="58" style="41" customWidth="1"/>
    <col min="8438" max="8438" width="24.140625" style="41" customWidth="1"/>
    <col min="8439" max="8440" width="0" style="41" hidden="1" customWidth="1"/>
    <col min="8441" max="8441" width="61.42578125" style="41" customWidth="1"/>
    <col min="8442" max="8442" width="62.140625" style="41" customWidth="1"/>
    <col min="8443" max="8446" width="0" style="41" hidden="1" customWidth="1"/>
    <col min="8447" max="8691" width="8.7109375" style="41"/>
    <col min="8692" max="8692" width="5.5703125" style="41" customWidth="1"/>
    <col min="8693" max="8693" width="58" style="41" customWidth="1"/>
    <col min="8694" max="8694" width="24.140625" style="41" customWidth="1"/>
    <col min="8695" max="8696" width="0" style="41" hidden="1" customWidth="1"/>
    <col min="8697" max="8697" width="61.42578125" style="41" customWidth="1"/>
    <col min="8698" max="8698" width="62.140625" style="41" customWidth="1"/>
    <col min="8699" max="8702" width="0" style="41" hidden="1" customWidth="1"/>
    <col min="8703" max="8947" width="8.7109375" style="41"/>
    <col min="8948" max="8948" width="5.5703125" style="41" customWidth="1"/>
    <col min="8949" max="8949" width="58" style="41" customWidth="1"/>
    <col min="8950" max="8950" width="24.140625" style="41" customWidth="1"/>
    <col min="8951" max="8952" width="0" style="41" hidden="1" customWidth="1"/>
    <col min="8953" max="8953" width="61.42578125" style="41" customWidth="1"/>
    <col min="8954" max="8954" width="62.140625" style="41" customWidth="1"/>
    <col min="8955" max="8958" width="0" style="41" hidden="1" customWidth="1"/>
    <col min="8959" max="9203" width="8.7109375" style="41"/>
    <col min="9204" max="9204" width="5.5703125" style="41" customWidth="1"/>
    <col min="9205" max="9205" width="58" style="41" customWidth="1"/>
    <col min="9206" max="9206" width="24.140625" style="41" customWidth="1"/>
    <col min="9207" max="9208" width="0" style="41" hidden="1" customWidth="1"/>
    <col min="9209" max="9209" width="61.42578125" style="41" customWidth="1"/>
    <col min="9210" max="9210" width="62.140625" style="41" customWidth="1"/>
    <col min="9211" max="9214" width="0" style="41" hidden="1" customWidth="1"/>
    <col min="9215" max="9459" width="8.7109375" style="41"/>
    <col min="9460" max="9460" width="5.5703125" style="41" customWidth="1"/>
    <col min="9461" max="9461" width="58" style="41" customWidth="1"/>
    <col min="9462" max="9462" width="24.140625" style="41" customWidth="1"/>
    <col min="9463" max="9464" width="0" style="41" hidden="1" customWidth="1"/>
    <col min="9465" max="9465" width="61.42578125" style="41" customWidth="1"/>
    <col min="9466" max="9466" width="62.140625" style="41" customWidth="1"/>
    <col min="9467" max="9470" width="0" style="41" hidden="1" customWidth="1"/>
    <col min="9471" max="9715" width="8.7109375" style="41"/>
    <col min="9716" max="9716" width="5.5703125" style="41" customWidth="1"/>
    <col min="9717" max="9717" width="58" style="41" customWidth="1"/>
    <col min="9718" max="9718" width="24.140625" style="41" customWidth="1"/>
    <col min="9719" max="9720" width="0" style="41" hidden="1" customWidth="1"/>
    <col min="9721" max="9721" width="61.42578125" style="41" customWidth="1"/>
    <col min="9722" max="9722" width="62.140625" style="41" customWidth="1"/>
    <col min="9723" max="9726" width="0" style="41" hidden="1" customWidth="1"/>
    <col min="9727" max="9971" width="8.7109375" style="41"/>
    <col min="9972" max="9972" width="5.5703125" style="41" customWidth="1"/>
    <col min="9973" max="9973" width="58" style="41" customWidth="1"/>
    <col min="9974" max="9974" width="24.140625" style="41" customWidth="1"/>
    <col min="9975" max="9976" width="0" style="41" hidden="1" customWidth="1"/>
    <col min="9977" max="9977" width="61.42578125" style="41" customWidth="1"/>
    <col min="9978" max="9978" width="62.140625" style="41" customWidth="1"/>
    <col min="9979" max="9982" width="0" style="41" hidden="1" customWidth="1"/>
    <col min="9983" max="10227" width="8.7109375" style="41"/>
    <col min="10228" max="10228" width="5.5703125" style="41" customWidth="1"/>
    <col min="10229" max="10229" width="58" style="41" customWidth="1"/>
    <col min="10230" max="10230" width="24.140625" style="41" customWidth="1"/>
    <col min="10231" max="10232" width="0" style="41" hidden="1" customWidth="1"/>
    <col min="10233" max="10233" width="61.42578125" style="41" customWidth="1"/>
    <col min="10234" max="10234" width="62.140625" style="41" customWidth="1"/>
    <col min="10235" max="10238" width="0" style="41" hidden="1" customWidth="1"/>
    <col min="10239" max="10483" width="8.7109375" style="41"/>
    <col min="10484" max="10484" width="5.5703125" style="41" customWidth="1"/>
    <col min="10485" max="10485" width="58" style="41" customWidth="1"/>
    <col min="10486" max="10486" width="24.140625" style="41" customWidth="1"/>
    <col min="10487" max="10488" width="0" style="41" hidden="1" customWidth="1"/>
    <col min="10489" max="10489" width="61.42578125" style="41" customWidth="1"/>
    <col min="10490" max="10490" width="62.140625" style="41" customWidth="1"/>
    <col min="10491" max="10494" width="0" style="41" hidden="1" customWidth="1"/>
    <col min="10495" max="10739" width="8.7109375" style="41"/>
    <col min="10740" max="10740" width="5.5703125" style="41" customWidth="1"/>
    <col min="10741" max="10741" width="58" style="41" customWidth="1"/>
    <col min="10742" max="10742" width="24.140625" style="41" customWidth="1"/>
    <col min="10743" max="10744" width="0" style="41" hidden="1" customWidth="1"/>
    <col min="10745" max="10745" width="61.42578125" style="41" customWidth="1"/>
    <col min="10746" max="10746" width="62.140625" style="41" customWidth="1"/>
    <col min="10747" max="10750" width="0" style="41" hidden="1" customWidth="1"/>
    <col min="10751" max="10995" width="8.7109375" style="41"/>
    <col min="10996" max="10996" width="5.5703125" style="41" customWidth="1"/>
    <col min="10997" max="10997" width="58" style="41" customWidth="1"/>
    <col min="10998" max="10998" width="24.140625" style="41" customWidth="1"/>
    <col min="10999" max="11000" width="0" style="41" hidden="1" customWidth="1"/>
    <col min="11001" max="11001" width="61.42578125" style="41" customWidth="1"/>
    <col min="11002" max="11002" width="62.140625" style="41" customWidth="1"/>
    <col min="11003" max="11006" width="0" style="41" hidden="1" customWidth="1"/>
    <col min="11007" max="11251" width="8.7109375" style="41"/>
    <col min="11252" max="11252" width="5.5703125" style="41" customWidth="1"/>
    <col min="11253" max="11253" width="58" style="41" customWidth="1"/>
    <col min="11254" max="11254" width="24.140625" style="41" customWidth="1"/>
    <col min="11255" max="11256" width="0" style="41" hidden="1" customWidth="1"/>
    <col min="11257" max="11257" width="61.42578125" style="41" customWidth="1"/>
    <col min="11258" max="11258" width="62.140625" style="41" customWidth="1"/>
    <col min="11259" max="11262" width="0" style="41" hidden="1" customWidth="1"/>
    <col min="11263" max="11507" width="8.7109375" style="41"/>
    <col min="11508" max="11508" width="5.5703125" style="41" customWidth="1"/>
    <col min="11509" max="11509" width="58" style="41" customWidth="1"/>
    <col min="11510" max="11510" width="24.140625" style="41" customWidth="1"/>
    <col min="11511" max="11512" width="0" style="41" hidden="1" customWidth="1"/>
    <col min="11513" max="11513" width="61.42578125" style="41" customWidth="1"/>
    <col min="11514" max="11514" width="62.140625" style="41" customWidth="1"/>
    <col min="11515" max="11518" width="0" style="41" hidden="1" customWidth="1"/>
    <col min="11519" max="11763" width="8.7109375" style="41"/>
    <col min="11764" max="11764" width="5.5703125" style="41" customWidth="1"/>
    <col min="11765" max="11765" width="58" style="41" customWidth="1"/>
    <col min="11766" max="11766" width="24.140625" style="41" customWidth="1"/>
    <col min="11767" max="11768" width="0" style="41" hidden="1" customWidth="1"/>
    <col min="11769" max="11769" width="61.42578125" style="41" customWidth="1"/>
    <col min="11770" max="11770" width="62.140625" style="41" customWidth="1"/>
    <col min="11771" max="11774" width="0" style="41" hidden="1" customWidth="1"/>
    <col min="11775" max="12019" width="8.7109375" style="41"/>
    <col min="12020" max="12020" width="5.5703125" style="41" customWidth="1"/>
    <col min="12021" max="12021" width="58" style="41" customWidth="1"/>
    <col min="12022" max="12022" width="24.140625" style="41" customWidth="1"/>
    <col min="12023" max="12024" width="0" style="41" hidden="1" customWidth="1"/>
    <col min="12025" max="12025" width="61.42578125" style="41" customWidth="1"/>
    <col min="12026" max="12026" width="62.140625" style="41" customWidth="1"/>
    <col min="12027" max="12030" width="0" style="41" hidden="1" customWidth="1"/>
    <col min="12031" max="12275" width="8.7109375" style="41"/>
    <col min="12276" max="12276" width="5.5703125" style="41" customWidth="1"/>
    <col min="12277" max="12277" width="58" style="41" customWidth="1"/>
    <col min="12278" max="12278" width="24.140625" style="41" customWidth="1"/>
    <col min="12279" max="12280" width="0" style="41" hidden="1" customWidth="1"/>
    <col min="12281" max="12281" width="61.42578125" style="41" customWidth="1"/>
    <col min="12282" max="12282" width="62.140625" style="41" customWidth="1"/>
    <col min="12283" max="12286" width="0" style="41" hidden="1" customWidth="1"/>
    <col min="12287" max="12531" width="8.7109375" style="41"/>
    <col min="12532" max="12532" width="5.5703125" style="41" customWidth="1"/>
    <col min="12533" max="12533" width="58" style="41" customWidth="1"/>
    <col min="12534" max="12534" width="24.140625" style="41" customWidth="1"/>
    <col min="12535" max="12536" width="0" style="41" hidden="1" customWidth="1"/>
    <col min="12537" max="12537" width="61.42578125" style="41" customWidth="1"/>
    <col min="12538" max="12538" width="62.140625" style="41" customWidth="1"/>
    <col min="12539" max="12542" width="0" style="41" hidden="1" customWidth="1"/>
    <col min="12543" max="12787" width="8.7109375" style="41"/>
    <col min="12788" max="12788" width="5.5703125" style="41" customWidth="1"/>
    <col min="12789" max="12789" width="58" style="41" customWidth="1"/>
    <col min="12790" max="12790" width="24.140625" style="41" customWidth="1"/>
    <col min="12791" max="12792" width="0" style="41" hidden="1" customWidth="1"/>
    <col min="12793" max="12793" width="61.42578125" style="41" customWidth="1"/>
    <col min="12794" max="12794" width="62.140625" style="41" customWidth="1"/>
    <col min="12795" max="12798" width="0" style="41" hidden="1" customWidth="1"/>
    <col min="12799" max="13043" width="8.7109375" style="41"/>
    <col min="13044" max="13044" width="5.5703125" style="41" customWidth="1"/>
    <col min="13045" max="13045" width="58" style="41" customWidth="1"/>
    <col min="13046" max="13046" width="24.140625" style="41" customWidth="1"/>
    <col min="13047" max="13048" width="0" style="41" hidden="1" customWidth="1"/>
    <col min="13049" max="13049" width="61.42578125" style="41" customWidth="1"/>
    <col min="13050" max="13050" width="62.140625" style="41" customWidth="1"/>
    <col min="13051" max="13054" width="0" style="41" hidden="1" customWidth="1"/>
    <col min="13055" max="13299" width="8.7109375" style="41"/>
    <col min="13300" max="13300" width="5.5703125" style="41" customWidth="1"/>
    <col min="13301" max="13301" width="58" style="41" customWidth="1"/>
    <col min="13302" max="13302" width="24.140625" style="41" customWidth="1"/>
    <col min="13303" max="13304" width="0" style="41" hidden="1" customWidth="1"/>
    <col min="13305" max="13305" width="61.42578125" style="41" customWidth="1"/>
    <col min="13306" max="13306" width="62.140625" style="41" customWidth="1"/>
    <col min="13307" max="13310" width="0" style="41" hidden="1" customWidth="1"/>
    <col min="13311" max="13555" width="8.7109375" style="41"/>
    <col min="13556" max="13556" width="5.5703125" style="41" customWidth="1"/>
    <col min="13557" max="13557" width="58" style="41" customWidth="1"/>
    <col min="13558" max="13558" width="24.140625" style="41" customWidth="1"/>
    <col min="13559" max="13560" width="0" style="41" hidden="1" customWidth="1"/>
    <col min="13561" max="13561" width="61.42578125" style="41" customWidth="1"/>
    <col min="13562" max="13562" width="62.140625" style="41" customWidth="1"/>
    <col min="13563" max="13566" width="0" style="41" hidden="1" customWidth="1"/>
    <col min="13567" max="13811" width="8.7109375" style="41"/>
    <col min="13812" max="13812" width="5.5703125" style="41" customWidth="1"/>
    <col min="13813" max="13813" width="58" style="41" customWidth="1"/>
    <col min="13814" max="13814" width="24.140625" style="41" customWidth="1"/>
    <col min="13815" max="13816" width="0" style="41" hidden="1" customWidth="1"/>
    <col min="13817" max="13817" width="61.42578125" style="41" customWidth="1"/>
    <col min="13818" max="13818" width="62.140625" style="41" customWidth="1"/>
    <col min="13819" max="13822" width="0" style="41" hidden="1" customWidth="1"/>
    <col min="13823" max="14067" width="8.7109375" style="41"/>
    <col min="14068" max="14068" width="5.5703125" style="41" customWidth="1"/>
    <col min="14069" max="14069" width="58" style="41" customWidth="1"/>
    <col min="14070" max="14070" width="24.140625" style="41" customWidth="1"/>
    <col min="14071" max="14072" width="0" style="41" hidden="1" customWidth="1"/>
    <col min="14073" max="14073" width="61.42578125" style="41" customWidth="1"/>
    <col min="14074" max="14074" width="62.140625" style="41" customWidth="1"/>
    <col min="14075" max="14078" width="0" style="41" hidden="1" customWidth="1"/>
    <col min="14079" max="14323" width="8.7109375" style="41"/>
    <col min="14324" max="14324" width="5.5703125" style="41" customWidth="1"/>
    <col min="14325" max="14325" width="58" style="41" customWidth="1"/>
    <col min="14326" max="14326" width="24.140625" style="41" customWidth="1"/>
    <col min="14327" max="14328" width="0" style="41" hidden="1" customWidth="1"/>
    <col min="14329" max="14329" width="61.42578125" style="41" customWidth="1"/>
    <col min="14330" max="14330" width="62.140625" style="41" customWidth="1"/>
    <col min="14331" max="14334" width="0" style="41" hidden="1" customWidth="1"/>
    <col min="14335" max="14579" width="8.7109375" style="41"/>
    <col min="14580" max="14580" width="5.5703125" style="41" customWidth="1"/>
    <col min="14581" max="14581" width="58" style="41" customWidth="1"/>
    <col min="14582" max="14582" width="24.140625" style="41" customWidth="1"/>
    <col min="14583" max="14584" width="0" style="41" hidden="1" customWidth="1"/>
    <col min="14585" max="14585" width="61.42578125" style="41" customWidth="1"/>
    <col min="14586" max="14586" width="62.140625" style="41" customWidth="1"/>
    <col min="14587" max="14590" width="0" style="41" hidden="1" customWidth="1"/>
    <col min="14591" max="14835" width="8.7109375" style="41"/>
    <col min="14836" max="14836" width="5.5703125" style="41" customWidth="1"/>
    <col min="14837" max="14837" width="58" style="41" customWidth="1"/>
    <col min="14838" max="14838" width="24.140625" style="41" customWidth="1"/>
    <col min="14839" max="14840" width="0" style="41" hidden="1" customWidth="1"/>
    <col min="14841" max="14841" width="61.42578125" style="41" customWidth="1"/>
    <col min="14842" max="14842" width="62.140625" style="41" customWidth="1"/>
    <col min="14843" max="14846" width="0" style="41" hidden="1" customWidth="1"/>
    <col min="14847" max="15091" width="8.7109375" style="41"/>
    <col min="15092" max="15092" width="5.5703125" style="41" customWidth="1"/>
    <col min="15093" max="15093" width="58" style="41" customWidth="1"/>
    <col min="15094" max="15094" width="24.140625" style="41" customWidth="1"/>
    <col min="15095" max="15096" width="0" style="41" hidden="1" customWidth="1"/>
    <col min="15097" max="15097" width="61.42578125" style="41" customWidth="1"/>
    <col min="15098" max="15098" width="62.140625" style="41" customWidth="1"/>
    <col min="15099" max="15102" width="0" style="41" hidden="1" customWidth="1"/>
    <col min="15103" max="15347" width="8.7109375" style="41"/>
    <col min="15348" max="15348" width="5.5703125" style="41" customWidth="1"/>
    <col min="15349" max="15349" width="58" style="41" customWidth="1"/>
    <col min="15350" max="15350" width="24.140625" style="41" customWidth="1"/>
    <col min="15351" max="15352" width="0" style="41" hidden="1" customWidth="1"/>
    <col min="15353" max="15353" width="61.42578125" style="41" customWidth="1"/>
    <col min="15354" max="15354" width="62.140625" style="41" customWidth="1"/>
    <col min="15355" max="15358" width="0" style="41" hidden="1" customWidth="1"/>
    <col min="15359" max="15603" width="8.7109375" style="41"/>
    <col min="15604" max="15604" width="5.5703125" style="41" customWidth="1"/>
    <col min="15605" max="15605" width="58" style="41" customWidth="1"/>
    <col min="15606" max="15606" width="24.140625" style="41" customWidth="1"/>
    <col min="15607" max="15608" width="0" style="41" hidden="1" customWidth="1"/>
    <col min="15609" max="15609" width="61.42578125" style="41" customWidth="1"/>
    <col min="15610" max="15610" width="62.140625" style="41" customWidth="1"/>
    <col min="15611" max="15614" width="0" style="41" hidden="1" customWidth="1"/>
    <col min="15615" max="15859" width="8.7109375" style="41"/>
    <col min="15860" max="15860" width="5.5703125" style="41" customWidth="1"/>
    <col min="15861" max="15861" width="58" style="41" customWidth="1"/>
    <col min="15862" max="15862" width="24.140625" style="41" customWidth="1"/>
    <col min="15863" max="15864" width="0" style="41" hidden="1" customWidth="1"/>
    <col min="15865" max="15865" width="61.42578125" style="41" customWidth="1"/>
    <col min="15866" max="15866" width="62.140625" style="41" customWidth="1"/>
    <col min="15867" max="15870" width="0" style="41" hidden="1" customWidth="1"/>
    <col min="15871" max="16115" width="8.7109375" style="41"/>
    <col min="16116" max="16116" width="5.5703125" style="41" customWidth="1"/>
    <col min="16117" max="16117" width="58" style="41" customWidth="1"/>
    <col min="16118" max="16118" width="24.140625" style="41" customWidth="1"/>
    <col min="16119" max="16120" width="0" style="41" hidden="1" customWidth="1"/>
    <col min="16121" max="16121" width="61.42578125" style="41" customWidth="1"/>
    <col min="16122" max="16122" width="62.140625" style="41" customWidth="1"/>
    <col min="16123" max="16126" width="0" style="41" hidden="1" customWidth="1"/>
    <col min="16127" max="16370" width="8.7109375" style="41"/>
    <col min="16371" max="16384" width="8.85546875" style="41" customWidth="1"/>
  </cols>
  <sheetData>
    <row r="1" spans="2:6">
      <c r="C1" s="42" t="s">
        <v>123</v>
      </c>
    </row>
    <row r="2" spans="2:6">
      <c r="C2" s="44">
        <v>44317</v>
      </c>
    </row>
    <row r="3" spans="2:6">
      <c r="B3" s="45"/>
      <c r="C3" s="46" t="s">
        <v>124</v>
      </c>
    </row>
    <row r="4" spans="2:6" ht="24.95" customHeight="1" thickBot="1">
      <c r="B4" s="47" t="s">
        <v>125</v>
      </c>
      <c r="C4" s="48" t="s">
        <v>126</v>
      </c>
      <c r="D4" s="47" t="s">
        <v>127</v>
      </c>
      <c r="E4" s="49" t="s">
        <v>128</v>
      </c>
      <c r="F4" s="49" t="s">
        <v>129</v>
      </c>
    </row>
    <row r="5" spans="2:6" ht="39.950000000000003" customHeight="1">
      <c r="B5" s="50" t="s">
        <v>130</v>
      </c>
      <c r="C5" s="51">
        <f>'[17]DC  CNA  DC III'!J6</f>
        <v>19.000800000000002</v>
      </c>
      <c r="D5" s="753" t="s">
        <v>131</v>
      </c>
      <c r="E5" s="751" t="s">
        <v>132</v>
      </c>
      <c r="F5" s="751" t="s">
        <v>133</v>
      </c>
    </row>
    <row r="6" spans="2:6" ht="42.6" customHeight="1" thickBot="1">
      <c r="B6" s="52" t="s">
        <v>134</v>
      </c>
      <c r="C6" s="53">
        <f>C5*2080</f>
        <v>39521.664000000004</v>
      </c>
      <c r="D6" s="754"/>
      <c r="E6" s="752"/>
      <c r="F6" s="752"/>
    </row>
    <row r="7" spans="2:6">
      <c r="B7" s="50" t="s">
        <v>135</v>
      </c>
      <c r="C7" s="51">
        <f>'[17]DC  CNA  DC III'!J19</f>
        <v>24.241120000000002</v>
      </c>
      <c r="D7" s="54" t="s">
        <v>136</v>
      </c>
      <c r="E7" s="751" t="s">
        <v>137</v>
      </c>
      <c r="F7" s="751" t="s">
        <v>138</v>
      </c>
    </row>
    <row r="8" spans="2:6" ht="27" thickBot="1">
      <c r="B8" s="55" t="s">
        <v>139</v>
      </c>
      <c r="C8" s="56">
        <f>C7*2080</f>
        <v>50421.529600000002</v>
      </c>
      <c r="D8" s="41" t="s">
        <v>140</v>
      </c>
      <c r="E8" s="755"/>
      <c r="F8" s="755"/>
    </row>
    <row r="9" spans="2:6">
      <c r="B9" s="50" t="s">
        <v>141</v>
      </c>
      <c r="C9" s="51">
        <f>'[17]DC  CNA  DC III'!J10</f>
        <v>18.008399999999998</v>
      </c>
      <c r="D9" s="54"/>
      <c r="E9" s="751" t="s">
        <v>142</v>
      </c>
      <c r="F9" s="751" t="s">
        <v>143</v>
      </c>
    </row>
    <row r="10" spans="2:6" ht="27" thickBot="1">
      <c r="B10" s="52" t="s">
        <v>144</v>
      </c>
      <c r="C10" s="53">
        <f>C9*2080</f>
        <v>37457.471999999994</v>
      </c>
      <c r="D10" s="57"/>
      <c r="E10" s="752"/>
      <c r="F10" s="752"/>
    </row>
    <row r="11" spans="2:6">
      <c r="B11" s="50" t="s">
        <v>145</v>
      </c>
      <c r="C11" s="51">
        <f>'[17]Case Social Worker.Manager'!J4</f>
        <v>24.3888</v>
      </c>
      <c r="D11" s="54" t="s">
        <v>146</v>
      </c>
      <c r="E11" s="751" t="s">
        <v>147</v>
      </c>
      <c r="F11" s="751" t="s">
        <v>148</v>
      </c>
    </row>
    <row r="12" spans="2:6" ht="27" thickBot="1">
      <c r="B12" s="55" t="s">
        <v>149</v>
      </c>
      <c r="C12" s="56">
        <f>C11*2080</f>
        <v>50728.703999999998</v>
      </c>
      <c r="D12" s="41" t="s">
        <v>150</v>
      </c>
      <c r="E12" s="755"/>
      <c r="F12" s="755"/>
    </row>
    <row r="13" spans="2:6" ht="78.75">
      <c r="B13" s="58" t="s">
        <v>151</v>
      </c>
      <c r="C13" s="51">
        <f>'[17]Case Social Worker.Manager'!J11</f>
        <v>30.569499999999998</v>
      </c>
      <c r="D13" s="54" t="s">
        <v>152</v>
      </c>
      <c r="E13" s="751" t="s">
        <v>153</v>
      </c>
      <c r="F13" s="751" t="s">
        <v>154</v>
      </c>
    </row>
    <row r="14" spans="2:6" ht="53.25" thickBot="1">
      <c r="B14" s="59" t="s">
        <v>155</v>
      </c>
      <c r="C14" s="53">
        <f>C13*2080</f>
        <v>63584.56</v>
      </c>
      <c r="D14" s="57" t="s">
        <v>156</v>
      </c>
      <c r="E14" s="752"/>
      <c r="F14" s="752"/>
    </row>
    <row r="15" spans="2:6">
      <c r="B15" s="50" t="s">
        <v>157</v>
      </c>
      <c r="C15" s="51">
        <f>[17]Nursing!J2</f>
        <v>29.084</v>
      </c>
      <c r="D15" s="54"/>
      <c r="E15" s="751" t="s">
        <v>158</v>
      </c>
      <c r="F15" s="751" t="s">
        <v>159</v>
      </c>
    </row>
    <row r="16" spans="2:6" ht="27" thickBot="1">
      <c r="B16" s="52" t="s">
        <v>160</v>
      </c>
      <c r="C16" s="53">
        <f>C15*2080</f>
        <v>60494.720000000001</v>
      </c>
      <c r="D16" s="57" t="s">
        <v>161</v>
      </c>
      <c r="E16" s="752"/>
      <c r="F16" s="752"/>
    </row>
    <row r="17" spans="2:6">
      <c r="B17" s="50" t="s">
        <v>162</v>
      </c>
      <c r="C17" s="51">
        <f>[17]Clinical!J6</f>
        <v>35.178200000000004</v>
      </c>
      <c r="D17" s="54" t="s">
        <v>163</v>
      </c>
      <c r="E17" s="751" t="s">
        <v>164</v>
      </c>
      <c r="F17" s="751" t="s">
        <v>165</v>
      </c>
    </row>
    <row r="18" spans="2:6" ht="27" thickBot="1">
      <c r="B18" s="52" t="s">
        <v>166</v>
      </c>
      <c r="C18" s="53">
        <f>C17*2080</f>
        <v>73170.656000000003</v>
      </c>
      <c r="D18" s="57"/>
      <c r="E18" s="752"/>
      <c r="F18" s="752"/>
    </row>
    <row r="19" spans="2:6">
      <c r="B19" s="50" t="s">
        <v>167</v>
      </c>
      <c r="C19" s="60">
        <f>[17]Therapies!M2</f>
        <v>30.937200000000001</v>
      </c>
      <c r="D19" s="54"/>
      <c r="E19" s="751" t="s">
        <v>168</v>
      </c>
      <c r="F19" s="751" t="s">
        <v>169</v>
      </c>
    </row>
    <row r="20" spans="2:6" ht="27" thickBot="1">
      <c r="B20" s="52" t="s">
        <v>170</v>
      </c>
      <c r="C20" s="53">
        <f>C19*2080</f>
        <v>64349.376000000004</v>
      </c>
      <c r="D20" s="57"/>
      <c r="E20" s="752"/>
      <c r="F20" s="752"/>
    </row>
    <row r="21" spans="2:6">
      <c r="B21" s="55" t="s">
        <v>171</v>
      </c>
      <c r="C21" s="61">
        <f>[17]Management!J2</f>
        <v>35.084000000000003</v>
      </c>
      <c r="D21" s="41" t="s">
        <v>172</v>
      </c>
      <c r="E21" s="751" t="s">
        <v>173</v>
      </c>
      <c r="F21" s="756" t="s">
        <v>174</v>
      </c>
    </row>
    <row r="22" spans="2:6" ht="27" thickBot="1">
      <c r="B22" s="52" t="s">
        <v>175</v>
      </c>
      <c r="C22" s="53">
        <f>C21*2080</f>
        <v>72974.720000000001</v>
      </c>
      <c r="D22" s="57" t="s">
        <v>176</v>
      </c>
      <c r="E22" s="752"/>
      <c r="F22" s="757"/>
    </row>
    <row r="23" spans="2:6">
      <c r="B23" s="55" t="s">
        <v>177</v>
      </c>
      <c r="C23" s="61">
        <f>[17]Therapies!M8</f>
        <v>38.650100000000002</v>
      </c>
      <c r="D23" s="41" t="s">
        <v>178</v>
      </c>
      <c r="E23" s="751" t="s">
        <v>153</v>
      </c>
      <c r="F23" s="751" t="s">
        <v>179</v>
      </c>
    </row>
    <row r="24" spans="2:6" ht="27" thickBot="1">
      <c r="B24" s="52" t="s">
        <v>180</v>
      </c>
      <c r="C24" s="53">
        <f>C23*2080</f>
        <v>80392.207999999999</v>
      </c>
      <c r="D24" s="57"/>
      <c r="E24" s="752"/>
      <c r="F24" s="752"/>
    </row>
    <row r="25" spans="2:6">
      <c r="B25" s="55" t="s">
        <v>181</v>
      </c>
      <c r="C25" s="61">
        <f>[17]Therapies!M14</f>
        <v>40.563600000000001</v>
      </c>
      <c r="D25" s="41" t="s">
        <v>182</v>
      </c>
      <c r="E25" s="751" t="s">
        <v>153</v>
      </c>
      <c r="F25" s="751" t="s">
        <v>183</v>
      </c>
    </row>
    <row r="26" spans="2:6" ht="27" thickBot="1">
      <c r="B26" s="52" t="s">
        <v>184</v>
      </c>
      <c r="C26" s="56">
        <f>C25*2080</f>
        <v>84372.288</v>
      </c>
      <c r="E26" s="752"/>
      <c r="F26" s="752"/>
    </row>
    <row r="27" spans="2:6">
      <c r="B27" s="50" t="s">
        <v>185</v>
      </c>
      <c r="C27" s="51">
        <f>[17]Clinical!J12</f>
        <v>43.1312</v>
      </c>
      <c r="D27" s="758" t="s">
        <v>186</v>
      </c>
      <c r="E27" s="751" t="s">
        <v>187</v>
      </c>
      <c r="F27" s="751" t="s">
        <v>188</v>
      </c>
    </row>
    <row r="28" spans="2:6" ht="34.5" customHeight="1" thickBot="1">
      <c r="B28" s="52" t="s">
        <v>189</v>
      </c>
      <c r="C28" s="53">
        <f>C27*2080</f>
        <v>89712.895999999993</v>
      </c>
      <c r="D28" s="759"/>
      <c r="E28" s="752"/>
      <c r="F28" s="752"/>
    </row>
    <row r="29" spans="2:6">
      <c r="B29" s="50" t="s">
        <v>190</v>
      </c>
      <c r="C29" s="51">
        <f>[17]Therapies!M18</f>
        <v>43.066240000000008</v>
      </c>
      <c r="D29" s="54"/>
      <c r="E29" s="751" t="s">
        <v>153</v>
      </c>
      <c r="F29" s="751" t="s">
        <v>191</v>
      </c>
    </row>
    <row r="30" spans="2:6" ht="27" thickBot="1">
      <c r="B30" s="52" t="s">
        <v>192</v>
      </c>
      <c r="C30" s="53">
        <f>C29*2080</f>
        <v>89577.779200000019</v>
      </c>
      <c r="D30" s="57"/>
      <c r="E30" s="752"/>
      <c r="F30" s="752"/>
    </row>
    <row r="31" spans="2:6">
      <c r="B31" s="50" t="s">
        <v>193</v>
      </c>
      <c r="C31" s="51">
        <f>[17]Nursing!J6</f>
        <v>47.109200000000001</v>
      </c>
      <c r="D31" s="54"/>
      <c r="E31" s="751" t="s">
        <v>194</v>
      </c>
      <c r="F31" s="751" t="s">
        <v>195</v>
      </c>
    </row>
    <row r="32" spans="2:6" ht="38.450000000000003" customHeight="1" thickBot="1">
      <c r="B32" s="52" t="s">
        <v>196</v>
      </c>
      <c r="C32" s="53">
        <f>C31*2080</f>
        <v>97987.135999999999</v>
      </c>
      <c r="D32" s="57"/>
      <c r="E32" s="752"/>
      <c r="F32" s="752"/>
    </row>
    <row r="33" spans="2:6">
      <c r="B33" s="50" t="s">
        <v>197</v>
      </c>
      <c r="C33" s="51">
        <f>[17]Nursing!J11</f>
        <v>62.008800000000001</v>
      </c>
      <c r="D33" s="54"/>
      <c r="E33" s="751" t="s">
        <v>198</v>
      </c>
      <c r="F33" s="751" t="s">
        <v>199</v>
      </c>
    </row>
    <row r="34" spans="2:6" ht="27" thickBot="1">
      <c r="B34" s="52" t="s">
        <v>200</v>
      </c>
      <c r="C34" s="53">
        <f>C33*2080</f>
        <v>128978.304</v>
      </c>
      <c r="D34" s="57"/>
      <c r="E34" s="752"/>
      <c r="F34" s="752"/>
    </row>
    <row r="36" spans="2:6" ht="78.75">
      <c r="B36" s="62" t="s">
        <v>201</v>
      </c>
      <c r="C36" s="56">
        <f>C6</f>
        <v>39521.664000000004</v>
      </c>
    </row>
    <row r="37" spans="2:6">
      <c r="C37" s="63"/>
    </row>
    <row r="38" spans="2:6">
      <c r="B38" s="64" t="s">
        <v>202</v>
      </c>
      <c r="C38" s="65">
        <f>23.39%+2%</f>
        <v>0.25390000000000001</v>
      </c>
      <c r="D38" s="41" t="s">
        <v>203</v>
      </c>
    </row>
    <row r="39" spans="2:6" ht="34.35" customHeight="1">
      <c r="B39" s="64"/>
      <c r="C39" s="63"/>
      <c r="D39" s="760" t="s">
        <v>204</v>
      </c>
      <c r="E39" s="760"/>
      <c r="F39" s="41"/>
    </row>
    <row r="40" spans="2:6">
      <c r="C40" s="63"/>
    </row>
    <row r="41" spans="2:6">
      <c r="B41" s="64" t="s">
        <v>205</v>
      </c>
      <c r="C41" s="66">
        <v>0.12</v>
      </c>
      <c r="D41" s="41" t="s">
        <v>206</v>
      </c>
    </row>
    <row r="42" spans="2:6">
      <c r="B42" s="64"/>
      <c r="C42" s="67"/>
    </row>
    <row r="43" spans="2:6">
      <c r="B43" s="761" t="s">
        <v>207</v>
      </c>
      <c r="C43" s="761"/>
      <c r="D43" s="761"/>
    </row>
    <row r="44" spans="2:6">
      <c r="B44" s="64" t="s">
        <v>208</v>
      </c>
      <c r="C44" s="56">
        <v>247150</v>
      </c>
      <c r="D44" s="41" t="s">
        <v>209</v>
      </c>
    </row>
    <row r="45" spans="2:6">
      <c r="B45" s="64" t="s">
        <v>210</v>
      </c>
      <c r="C45" s="56">
        <v>206010</v>
      </c>
      <c r="D45" s="41" t="s">
        <v>211</v>
      </c>
    </row>
    <row r="46" spans="2:6">
      <c r="B46" s="64" t="s">
        <v>212</v>
      </c>
      <c r="C46" s="56">
        <f>'[17]02021 53_PCT'!N34</f>
        <v>133902.08000000002</v>
      </c>
      <c r="D46" s="41" t="s">
        <v>213</v>
      </c>
    </row>
    <row r="49" spans="3:3">
      <c r="C49" s="68"/>
    </row>
    <row r="50" spans="3:3">
      <c r="C50" s="69"/>
    </row>
  </sheetData>
  <mergeCells count="34">
    <mergeCell ref="D39:E39"/>
    <mergeCell ref="B43:D43"/>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CBA47-0A9A-4787-A36D-5BDFD2E466C8}">
  <sheetPr>
    <pageSetUpPr fitToPage="1"/>
  </sheetPr>
  <dimension ref="B1:K57"/>
  <sheetViews>
    <sheetView showGridLines="0" topLeftCell="A7" zoomScale="55" zoomScaleNormal="55" workbookViewId="0">
      <selection activeCell="C54" sqref="C54"/>
    </sheetView>
  </sheetViews>
  <sheetFormatPr defaultRowHeight="26.25"/>
  <cols>
    <col min="1" max="1" width="5.5703125" style="41" customWidth="1"/>
    <col min="2" max="2" width="78.7109375" style="41" customWidth="1"/>
    <col min="3" max="3" width="25.85546875" style="41" customWidth="1"/>
    <col min="4" max="4" width="71.5703125" style="41" customWidth="1"/>
    <col min="5" max="5" width="69.140625" style="43" customWidth="1"/>
    <col min="6" max="6" width="46.140625" style="43" customWidth="1"/>
    <col min="7" max="8" width="9.140625" style="41"/>
    <col min="9" max="9" width="26.140625" style="41" customWidth="1"/>
    <col min="10" max="10" width="22.42578125" style="621" customWidth="1"/>
    <col min="11" max="11" width="13.42578125" style="41" customWidth="1"/>
    <col min="12" max="231" width="9.140625" style="41"/>
    <col min="232" max="232" width="5.5703125" style="41" customWidth="1"/>
    <col min="233" max="233" width="58" style="41" customWidth="1"/>
    <col min="234" max="234" width="24.140625" style="41" customWidth="1"/>
    <col min="235" max="236" width="0" style="41" hidden="1" customWidth="1"/>
    <col min="237" max="237" width="61.42578125" style="41" customWidth="1"/>
    <col min="238" max="238" width="62.140625" style="41" customWidth="1"/>
    <col min="239" max="242" width="0" style="41" hidden="1" customWidth="1"/>
    <col min="243" max="487" width="9.140625" style="41"/>
    <col min="488" max="488" width="5.5703125" style="41" customWidth="1"/>
    <col min="489" max="489" width="58" style="41" customWidth="1"/>
    <col min="490" max="490" width="24.140625" style="41" customWidth="1"/>
    <col min="491" max="492" width="0" style="41" hidden="1" customWidth="1"/>
    <col min="493" max="493" width="61.42578125" style="41" customWidth="1"/>
    <col min="494" max="494" width="62.140625" style="41" customWidth="1"/>
    <col min="495" max="498" width="0" style="41" hidden="1" customWidth="1"/>
    <col min="499" max="743" width="9.140625" style="41"/>
    <col min="744" max="744" width="5.5703125" style="41" customWidth="1"/>
    <col min="745" max="745" width="58" style="41" customWidth="1"/>
    <col min="746" max="746" width="24.140625" style="41" customWidth="1"/>
    <col min="747" max="748" width="0" style="41" hidden="1" customWidth="1"/>
    <col min="749" max="749" width="61.42578125" style="41" customWidth="1"/>
    <col min="750" max="750" width="62.140625" style="41" customWidth="1"/>
    <col min="751" max="754" width="0" style="41" hidden="1" customWidth="1"/>
    <col min="755" max="999" width="9.140625" style="41"/>
    <col min="1000" max="1000" width="5.5703125" style="41" customWidth="1"/>
    <col min="1001" max="1001" width="58" style="41" customWidth="1"/>
    <col min="1002" max="1002" width="24.140625" style="41" customWidth="1"/>
    <col min="1003" max="1004" width="0" style="41" hidden="1" customWidth="1"/>
    <col min="1005" max="1005" width="61.42578125" style="41" customWidth="1"/>
    <col min="1006" max="1006" width="62.140625" style="41" customWidth="1"/>
    <col min="1007" max="1010" width="0" style="41" hidden="1" customWidth="1"/>
    <col min="1011" max="1255" width="9.140625" style="41"/>
    <col min="1256" max="1256" width="5.5703125" style="41" customWidth="1"/>
    <col min="1257" max="1257" width="58" style="41" customWidth="1"/>
    <col min="1258" max="1258" width="24.140625" style="41" customWidth="1"/>
    <col min="1259" max="1260" width="0" style="41" hidden="1" customWidth="1"/>
    <col min="1261" max="1261" width="61.42578125" style="41" customWidth="1"/>
    <col min="1262" max="1262" width="62.140625" style="41" customWidth="1"/>
    <col min="1263" max="1266" width="0" style="41" hidden="1" customWidth="1"/>
    <col min="1267" max="1511" width="9.140625" style="41"/>
    <col min="1512" max="1512" width="5.5703125" style="41" customWidth="1"/>
    <col min="1513" max="1513" width="58" style="41" customWidth="1"/>
    <col min="1514" max="1514" width="24.140625" style="41" customWidth="1"/>
    <col min="1515" max="1516" width="0" style="41" hidden="1" customWidth="1"/>
    <col min="1517" max="1517" width="61.42578125" style="41" customWidth="1"/>
    <col min="1518" max="1518" width="62.140625" style="41" customWidth="1"/>
    <col min="1519" max="1522" width="0" style="41" hidden="1" customWidth="1"/>
    <col min="1523" max="1767" width="9.140625" style="41"/>
    <col min="1768" max="1768" width="5.5703125" style="41" customWidth="1"/>
    <col min="1769" max="1769" width="58" style="41" customWidth="1"/>
    <col min="1770" max="1770" width="24.140625" style="41" customWidth="1"/>
    <col min="1771" max="1772" width="0" style="41" hidden="1" customWidth="1"/>
    <col min="1773" max="1773" width="61.42578125" style="41" customWidth="1"/>
    <col min="1774" max="1774" width="62.140625" style="41" customWidth="1"/>
    <col min="1775" max="1778" width="0" style="41" hidden="1" customWidth="1"/>
    <col min="1779" max="2023" width="9.140625" style="41"/>
    <col min="2024" max="2024" width="5.5703125" style="41" customWidth="1"/>
    <col min="2025" max="2025" width="58" style="41" customWidth="1"/>
    <col min="2026" max="2026" width="24.140625" style="41" customWidth="1"/>
    <col min="2027" max="2028" width="0" style="41" hidden="1" customWidth="1"/>
    <col min="2029" max="2029" width="61.42578125" style="41" customWidth="1"/>
    <col min="2030" max="2030" width="62.140625" style="41" customWidth="1"/>
    <col min="2031" max="2034" width="0" style="41" hidden="1" customWidth="1"/>
    <col min="2035" max="2279" width="9.140625" style="41"/>
    <col min="2280" max="2280" width="5.5703125" style="41" customWidth="1"/>
    <col min="2281" max="2281" width="58" style="41" customWidth="1"/>
    <col min="2282" max="2282" width="24.140625" style="41" customWidth="1"/>
    <col min="2283" max="2284" width="0" style="41" hidden="1" customWidth="1"/>
    <col min="2285" max="2285" width="61.42578125" style="41" customWidth="1"/>
    <col min="2286" max="2286" width="62.140625" style="41" customWidth="1"/>
    <col min="2287" max="2290" width="0" style="41" hidden="1" customWidth="1"/>
    <col min="2291" max="2535" width="9.140625" style="41"/>
    <col min="2536" max="2536" width="5.5703125" style="41" customWidth="1"/>
    <col min="2537" max="2537" width="58" style="41" customWidth="1"/>
    <col min="2538" max="2538" width="24.140625" style="41" customWidth="1"/>
    <col min="2539" max="2540" width="0" style="41" hidden="1" customWidth="1"/>
    <col min="2541" max="2541" width="61.42578125" style="41" customWidth="1"/>
    <col min="2542" max="2542" width="62.140625" style="41" customWidth="1"/>
    <col min="2543" max="2546" width="0" style="41" hidden="1" customWidth="1"/>
    <col min="2547" max="2791" width="9.140625" style="41"/>
    <col min="2792" max="2792" width="5.5703125" style="41" customWidth="1"/>
    <col min="2793" max="2793" width="58" style="41" customWidth="1"/>
    <col min="2794" max="2794" width="24.140625" style="41" customWidth="1"/>
    <col min="2795" max="2796" width="0" style="41" hidden="1" customWidth="1"/>
    <col min="2797" max="2797" width="61.42578125" style="41" customWidth="1"/>
    <col min="2798" max="2798" width="62.140625" style="41" customWidth="1"/>
    <col min="2799" max="2802" width="0" style="41" hidden="1" customWidth="1"/>
    <col min="2803" max="3047" width="9.140625" style="41"/>
    <col min="3048" max="3048" width="5.5703125" style="41" customWidth="1"/>
    <col min="3049" max="3049" width="58" style="41" customWidth="1"/>
    <col min="3050" max="3050" width="24.140625" style="41" customWidth="1"/>
    <col min="3051" max="3052" width="0" style="41" hidden="1" customWidth="1"/>
    <col min="3053" max="3053" width="61.42578125" style="41" customWidth="1"/>
    <col min="3054" max="3054" width="62.140625" style="41" customWidth="1"/>
    <col min="3055" max="3058" width="0" style="41" hidden="1" customWidth="1"/>
    <col min="3059" max="3303" width="9.140625" style="41"/>
    <col min="3304" max="3304" width="5.5703125" style="41" customWidth="1"/>
    <col min="3305" max="3305" width="58" style="41" customWidth="1"/>
    <col min="3306" max="3306" width="24.140625" style="41" customWidth="1"/>
    <col min="3307" max="3308" width="0" style="41" hidden="1" customWidth="1"/>
    <col min="3309" max="3309" width="61.42578125" style="41" customWidth="1"/>
    <col min="3310" max="3310" width="62.140625" style="41" customWidth="1"/>
    <col min="3311" max="3314" width="0" style="41" hidden="1" customWidth="1"/>
    <col min="3315" max="3559" width="9.140625" style="41"/>
    <col min="3560" max="3560" width="5.5703125" style="41" customWidth="1"/>
    <col min="3561" max="3561" width="58" style="41" customWidth="1"/>
    <col min="3562" max="3562" width="24.140625" style="41" customWidth="1"/>
    <col min="3563" max="3564" width="0" style="41" hidden="1" customWidth="1"/>
    <col min="3565" max="3565" width="61.42578125" style="41" customWidth="1"/>
    <col min="3566" max="3566" width="62.140625" style="41" customWidth="1"/>
    <col min="3567" max="3570" width="0" style="41" hidden="1" customWidth="1"/>
    <col min="3571" max="3815" width="9.140625" style="41"/>
    <col min="3816" max="3816" width="5.5703125" style="41" customWidth="1"/>
    <col min="3817" max="3817" width="58" style="41" customWidth="1"/>
    <col min="3818" max="3818" width="24.140625" style="41" customWidth="1"/>
    <col min="3819" max="3820" width="0" style="41" hidden="1" customWidth="1"/>
    <col min="3821" max="3821" width="61.42578125" style="41" customWidth="1"/>
    <col min="3822" max="3822" width="62.140625" style="41" customWidth="1"/>
    <col min="3823" max="3826" width="0" style="41" hidden="1" customWidth="1"/>
    <col min="3827" max="4071" width="9.140625" style="41"/>
    <col min="4072" max="4072" width="5.5703125" style="41" customWidth="1"/>
    <col min="4073" max="4073" width="58" style="41" customWidth="1"/>
    <col min="4074" max="4074" width="24.140625" style="41" customWidth="1"/>
    <col min="4075" max="4076" width="0" style="41" hidden="1" customWidth="1"/>
    <col min="4077" max="4077" width="61.42578125" style="41" customWidth="1"/>
    <col min="4078" max="4078" width="62.140625" style="41" customWidth="1"/>
    <col min="4079" max="4082" width="0" style="41" hidden="1" customWidth="1"/>
    <col min="4083" max="4327" width="9.140625" style="41"/>
    <col min="4328" max="4328" width="5.5703125" style="41" customWidth="1"/>
    <col min="4329" max="4329" width="58" style="41" customWidth="1"/>
    <col min="4330" max="4330" width="24.140625" style="41" customWidth="1"/>
    <col min="4331" max="4332" width="0" style="41" hidden="1" customWidth="1"/>
    <col min="4333" max="4333" width="61.42578125" style="41" customWidth="1"/>
    <col min="4334" max="4334" width="62.140625" style="41" customWidth="1"/>
    <col min="4335" max="4338" width="0" style="41" hidden="1" customWidth="1"/>
    <col min="4339" max="4583" width="9.140625" style="41"/>
    <col min="4584" max="4584" width="5.5703125" style="41" customWidth="1"/>
    <col min="4585" max="4585" width="58" style="41" customWidth="1"/>
    <col min="4586" max="4586" width="24.140625" style="41" customWidth="1"/>
    <col min="4587" max="4588" width="0" style="41" hidden="1" customWidth="1"/>
    <col min="4589" max="4589" width="61.42578125" style="41" customWidth="1"/>
    <col min="4590" max="4590" width="62.140625" style="41" customWidth="1"/>
    <col min="4591" max="4594" width="0" style="41" hidden="1" customWidth="1"/>
    <col min="4595" max="4839" width="9.140625" style="41"/>
    <col min="4840" max="4840" width="5.5703125" style="41" customWidth="1"/>
    <col min="4841" max="4841" width="58" style="41" customWidth="1"/>
    <col min="4842" max="4842" width="24.140625" style="41" customWidth="1"/>
    <col min="4843" max="4844" width="0" style="41" hidden="1" customWidth="1"/>
    <col min="4845" max="4845" width="61.42578125" style="41" customWidth="1"/>
    <col min="4846" max="4846" width="62.140625" style="41" customWidth="1"/>
    <col min="4847" max="4850" width="0" style="41" hidden="1" customWidth="1"/>
    <col min="4851" max="5095" width="9.140625" style="41"/>
    <col min="5096" max="5096" width="5.5703125" style="41" customWidth="1"/>
    <col min="5097" max="5097" width="58" style="41" customWidth="1"/>
    <col min="5098" max="5098" width="24.140625" style="41" customWidth="1"/>
    <col min="5099" max="5100" width="0" style="41" hidden="1" customWidth="1"/>
    <col min="5101" max="5101" width="61.42578125" style="41" customWidth="1"/>
    <col min="5102" max="5102" width="62.140625" style="41" customWidth="1"/>
    <col min="5103" max="5106" width="0" style="41" hidden="1" customWidth="1"/>
    <col min="5107" max="5351" width="9.140625" style="41"/>
    <col min="5352" max="5352" width="5.5703125" style="41" customWidth="1"/>
    <col min="5353" max="5353" width="58" style="41" customWidth="1"/>
    <col min="5354" max="5354" width="24.140625" style="41" customWidth="1"/>
    <col min="5355" max="5356" width="0" style="41" hidden="1" customWidth="1"/>
    <col min="5357" max="5357" width="61.42578125" style="41" customWidth="1"/>
    <col min="5358" max="5358" width="62.140625" style="41" customWidth="1"/>
    <col min="5359" max="5362" width="0" style="41" hidden="1" customWidth="1"/>
    <col min="5363" max="5607" width="9.140625" style="41"/>
    <col min="5608" max="5608" width="5.5703125" style="41" customWidth="1"/>
    <col min="5609" max="5609" width="58" style="41" customWidth="1"/>
    <col min="5610" max="5610" width="24.140625" style="41" customWidth="1"/>
    <col min="5611" max="5612" width="0" style="41" hidden="1" customWidth="1"/>
    <col min="5613" max="5613" width="61.42578125" style="41" customWidth="1"/>
    <col min="5614" max="5614" width="62.140625" style="41" customWidth="1"/>
    <col min="5615" max="5618" width="0" style="41" hidden="1" customWidth="1"/>
    <col min="5619" max="5863" width="9.140625" style="41"/>
    <col min="5864" max="5864" width="5.5703125" style="41" customWidth="1"/>
    <col min="5865" max="5865" width="58" style="41" customWidth="1"/>
    <col min="5866" max="5866" width="24.140625" style="41" customWidth="1"/>
    <col min="5867" max="5868" width="0" style="41" hidden="1" customWidth="1"/>
    <col min="5869" max="5869" width="61.42578125" style="41" customWidth="1"/>
    <col min="5870" max="5870" width="62.140625" style="41" customWidth="1"/>
    <col min="5871" max="5874" width="0" style="41" hidden="1" customWidth="1"/>
    <col min="5875" max="6119" width="9.140625" style="41"/>
    <col min="6120" max="6120" width="5.5703125" style="41" customWidth="1"/>
    <col min="6121" max="6121" width="58" style="41" customWidth="1"/>
    <col min="6122" max="6122" width="24.140625" style="41" customWidth="1"/>
    <col min="6123" max="6124" width="0" style="41" hidden="1" customWidth="1"/>
    <col min="6125" max="6125" width="61.42578125" style="41" customWidth="1"/>
    <col min="6126" max="6126" width="62.140625" style="41" customWidth="1"/>
    <col min="6127" max="6130" width="0" style="41" hidden="1" customWidth="1"/>
    <col min="6131" max="6375" width="9.140625" style="41"/>
    <col min="6376" max="6376" width="5.5703125" style="41" customWidth="1"/>
    <col min="6377" max="6377" width="58" style="41" customWidth="1"/>
    <col min="6378" max="6378" width="24.140625" style="41" customWidth="1"/>
    <col min="6379" max="6380" width="0" style="41" hidden="1" customWidth="1"/>
    <col min="6381" max="6381" width="61.42578125" style="41" customWidth="1"/>
    <col min="6382" max="6382" width="62.140625" style="41" customWidth="1"/>
    <col min="6383" max="6386" width="0" style="41" hidden="1" customWidth="1"/>
    <col min="6387" max="6631" width="9.140625" style="41"/>
    <col min="6632" max="6632" width="5.5703125" style="41" customWidth="1"/>
    <col min="6633" max="6633" width="58" style="41" customWidth="1"/>
    <col min="6634" max="6634" width="24.140625" style="41" customWidth="1"/>
    <col min="6635" max="6636" width="0" style="41" hidden="1" customWidth="1"/>
    <col min="6637" max="6637" width="61.42578125" style="41" customWidth="1"/>
    <col min="6638" max="6638" width="62.140625" style="41" customWidth="1"/>
    <col min="6639" max="6642" width="0" style="41" hidden="1" customWidth="1"/>
    <col min="6643" max="6887" width="9.140625" style="41"/>
    <col min="6888" max="6888" width="5.5703125" style="41" customWidth="1"/>
    <col min="6889" max="6889" width="58" style="41" customWidth="1"/>
    <col min="6890" max="6890" width="24.140625" style="41" customWidth="1"/>
    <col min="6891" max="6892" width="0" style="41" hidden="1" customWidth="1"/>
    <col min="6893" max="6893" width="61.42578125" style="41" customWidth="1"/>
    <col min="6894" max="6894" width="62.140625" style="41" customWidth="1"/>
    <col min="6895" max="6898" width="0" style="41" hidden="1" customWidth="1"/>
    <col min="6899" max="7143" width="9.140625" style="41"/>
    <col min="7144" max="7144" width="5.5703125" style="41" customWidth="1"/>
    <col min="7145" max="7145" width="58" style="41" customWidth="1"/>
    <col min="7146" max="7146" width="24.140625" style="41" customWidth="1"/>
    <col min="7147" max="7148" width="0" style="41" hidden="1" customWidth="1"/>
    <col min="7149" max="7149" width="61.42578125" style="41" customWidth="1"/>
    <col min="7150" max="7150" width="62.140625" style="41" customWidth="1"/>
    <col min="7151" max="7154" width="0" style="41" hidden="1" customWidth="1"/>
    <col min="7155" max="7399" width="9.140625" style="41"/>
    <col min="7400" max="7400" width="5.5703125" style="41" customWidth="1"/>
    <col min="7401" max="7401" width="58" style="41" customWidth="1"/>
    <col min="7402" max="7402" width="24.140625" style="41" customWidth="1"/>
    <col min="7403" max="7404" width="0" style="41" hidden="1" customWidth="1"/>
    <col min="7405" max="7405" width="61.42578125" style="41" customWidth="1"/>
    <col min="7406" max="7406" width="62.140625" style="41" customWidth="1"/>
    <col min="7407" max="7410" width="0" style="41" hidden="1" customWidth="1"/>
    <col min="7411" max="7655" width="9.140625" style="41"/>
    <col min="7656" max="7656" width="5.5703125" style="41" customWidth="1"/>
    <col min="7657" max="7657" width="58" style="41" customWidth="1"/>
    <col min="7658" max="7658" width="24.140625" style="41" customWidth="1"/>
    <col min="7659" max="7660" width="0" style="41" hidden="1" customWidth="1"/>
    <col min="7661" max="7661" width="61.42578125" style="41" customWidth="1"/>
    <col min="7662" max="7662" width="62.140625" style="41" customWidth="1"/>
    <col min="7663" max="7666" width="0" style="41" hidden="1" customWidth="1"/>
    <col min="7667" max="7911" width="9.140625" style="41"/>
    <col min="7912" max="7912" width="5.5703125" style="41" customWidth="1"/>
    <col min="7913" max="7913" width="58" style="41" customWidth="1"/>
    <col min="7914" max="7914" width="24.140625" style="41" customWidth="1"/>
    <col min="7915" max="7916" width="0" style="41" hidden="1" customWidth="1"/>
    <col min="7917" max="7917" width="61.42578125" style="41" customWidth="1"/>
    <col min="7918" max="7918" width="62.140625" style="41" customWidth="1"/>
    <col min="7919" max="7922" width="0" style="41" hidden="1" customWidth="1"/>
    <col min="7923" max="8167" width="9.140625" style="41"/>
    <col min="8168" max="8168" width="5.5703125" style="41" customWidth="1"/>
    <col min="8169" max="8169" width="58" style="41" customWidth="1"/>
    <col min="8170" max="8170" width="24.140625" style="41" customWidth="1"/>
    <col min="8171" max="8172" width="0" style="41" hidden="1" customWidth="1"/>
    <col min="8173" max="8173" width="61.42578125" style="41" customWidth="1"/>
    <col min="8174" max="8174" width="62.140625" style="41" customWidth="1"/>
    <col min="8175" max="8178" width="0" style="41" hidden="1" customWidth="1"/>
    <col min="8179" max="8423" width="9.140625" style="41"/>
    <col min="8424" max="8424" width="5.5703125" style="41" customWidth="1"/>
    <col min="8425" max="8425" width="58" style="41" customWidth="1"/>
    <col min="8426" max="8426" width="24.140625" style="41" customWidth="1"/>
    <col min="8427" max="8428" width="0" style="41" hidden="1" customWidth="1"/>
    <col min="8429" max="8429" width="61.42578125" style="41" customWidth="1"/>
    <col min="8430" max="8430" width="62.140625" style="41" customWidth="1"/>
    <col min="8431" max="8434" width="0" style="41" hidden="1" customWidth="1"/>
    <col min="8435" max="8679" width="9.140625" style="41"/>
    <col min="8680" max="8680" width="5.5703125" style="41" customWidth="1"/>
    <col min="8681" max="8681" width="58" style="41" customWidth="1"/>
    <col min="8682" max="8682" width="24.140625" style="41" customWidth="1"/>
    <col min="8683" max="8684" width="0" style="41" hidden="1" customWidth="1"/>
    <col min="8685" max="8685" width="61.42578125" style="41" customWidth="1"/>
    <col min="8686" max="8686" width="62.140625" style="41" customWidth="1"/>
    <col min="8687" max="8690" width="0" style="41" hidden="1" customWidth="1"/>
    <col min="8691" max="8935" width="9.140625" style="41"/>
    <col min="8936" max="8936" width="5.5703125" style="41" customWidth="1"/>
    <col min="8937" max="8937" width="58" style="41" customWidth="1"/>
    <col min="8938" max="8938" width="24.140625" style="41" customWidth="1"/>
    <col min="8939" max="8940" width="0" style="41" hidden="1" customWidth="1"/>
    <col min="8941" max="8941" width="61.42578125" style="41" customWidth="1"/>
    <col min="8942" max="8942" width="62.140625" style="41" customWidth="1"/>
    <col min="8943" max="8946" width="0" style="41" hidden="1" customWidth="1"/>
    <col min="8947" max="9191" width="9.140625" style="41"/>
    <col min="9192" max="9192" width="5.5703125" style="41" customWidth="1"/>
    <col min="9193" max="9193" width="58" style="41" customWidth="1"/>
    <col min="9194" max="9194" width="24.140625" style="41" customWidth="1"/>
    <col min="9195" max="9196" width="0" style="41" hidden="1" customWidth="1"/>
    <col min="9197" max="9197" width="61.42578125" style="41" customWidth="1"/>
    <col min="9198" max="9198" width="62.140625" style="41" customWidth="1"/>
    <col min="9199" max="9202" width="0" style="41" hidden="1" customWidth="1"/>
    <col min="9203" max="9447" width="9.140625" style="41"/>
    <col min="9448" max="9448" width="5.5703125" style="41" customWidth="1"/>
    <col min="9449" max="9449" width="58" style="41" customWidth="1"/>
    <col min="9450" max="9450" width="24.140625" style="41" customWidth="1"/>
    <col min="9451" max="9452" width="0" style="41" hidden="1" customWidth="1"/>
    <col min="9453" max="9453" width="61.42578125" style="41" customWidth="1"/>
    <col min="9454" max="9454" width="62.140625" style="41" customWidth="1"/>
    <col min="9455" max="9458" width="0" style="41" hidden="1" customWidth="1"/>
    <col min="9459" max="9703" width="9.140625" style="41"/>
    <col min="9704" max="9704" width="5.5703125" style="41" customWidth="1"/>
    <col min="9705" max="9705" width="58" style="41" customWidth="1"/>
    <col min="9706" max="9706" width="24.140625" style="41" customWidth="1"/>
    <col min="9707" max="9708" width="0" style="41" hidden="1" customWidth="1"/>
    <col min="9709" max="9709" width="61.42578125" style="41" customWidth="1"/>
    <col min="9710" max="9710" width="62.140625" style="41" customWidth="1"/>
    <col min="9711" max="9714" width="0" style="41" hidden="1" customWidth="1"/>
    <col min="9715" max="9959" width="9.140625" style="41"/>
    <col min="9960" max="9960" width="5.5703125" style="41" customWidth="1"/>
    <col min="9961" max="9961" width="58" style="41" customWidth="1"/>
    <col min="9962" max="9962" width="24.140625" style="41" customWidth="1"/>
    <col min="9963" max="9964" width="0" style="41" hidden="1" customWidth="1"/>
    <col min="9965" max="9965" width="61.42578125" style="41" customWidth="1"/>
    <col min="9966" max="9966" width="62.140625" style="41" customWidth="1"/>
    <col min="9967" max="9970" width="0" style="41" hidden="1" customWidth="1"/>
    <col min="9971" max="10215" width="9.140625" style="41"/>
    <col min="10216" max="10216" width="5.5703125" style="41" customWidth="1"/>
    <col min="10217" max="10217" width="58" style="41" customWidth="1"/>
    <col min="10218" max="10218" width="24.140625" style="41" customWidth="1"/>
    <col min="10219" max="10220" width="0" style="41" hidden="1" customWidth="1"/>
    <col min="10221" max="10221" width="61.42578125" style="41" customWidth="1"/>
    <col min="10222" max="10222" width="62.140625" style="41" customWidth="1"/>
    <col min="10223" max="10226" width="0" style="41" hidden="1" customWidth="1"/>
    <col min="10227" max="10471" width="9.140625" style="41"/>
    <col min="10472" max="10472" width="5.5703125" style="41" customWidth="1"/>
    <col min="10473" max="10473" width="58" style="41" customWidth="1"/>
    <col min="10474" max="10474" width="24.140625" style="41" customWidth="1"/>
    <col min="10475" max="10476" width="0" style="41" hidden="1" customWidth="1"/>
    <col min="10477" max="10477" width="61.42578125" style="41" customWidth="1"/>
    <col min="10478" max="10478" width="62.140625" style="41" customWidth="1"/>
    <col min="10479" max="10482" width="0" style="41" hidden="1" customWidth="1"/>
    <col min="10483" max="10727" width="9.140625" style="41"/>
    <col min="10728" max="10728" width="5.5703125" style="41" customWidth="1"/>
    <col min="10729" max="10729" width="58" style="41" customWidth="1"/>
    <col min="10730" max="10730" width="24.140625" style="41" customWidth="1"/>
    <col min="10731" max="10732" width="0" style="41" hidden="1" customWidth="1"/>
    <col min="10733" max="10733" width="61.42578125" style="41" customWidth="1"/>
    <col min="10734" max="10734" width="62.140625" style="41" customWidth="1"/>
    <col min="10735" max="10738" width="0" style="41" hidden="1" customWidth="1"/>
    <col min="10739" max="10983" width="9.140625" style="41"/>
    <col min="10984" max="10984" width="5.5703125" style="41" customWidth="1"/>
    <col min="10985" max="10985" width="58" style="41" customWidth="1"/>
    <col min="10986" max="10986" width="24.140625" style="41" customWidth="1"/>
    <col min="10987" max="10988" width="0" style="41" hidden="1" customWidth="1"/>
    <col min="10989" max="10989" width="61.42578125" style="41" customWidth="1"/>
    <col min="10990" max="10990" width="62.140625" style="41" customWidth="1"/>
    <col min="10991" max="10994" width="0" style="41" hidden="1" customWidth="1"/>
    <col min="10995" max="11239" width="9.140625" style="41"/>
    <col min="11240" max="11240" width="5.5703125" style="41" customWidth="1"/>
    <col min="11241" max="11241" width="58" style="41" customWidth="1"/>
    <col min="11242" max="11242" width="24.140625" style="41" customWidth="1"/>
    <col min="11243" max="11244" width="0" style="41" hidden="1" customWidth="1"/>
    <col min="11245" max="11245" width="61.42578125" style="41" customWidth="1"/>
    <col min="11246" max="11246" width="62.140625" style="41" customWidth="1"/>
    <col min="11247" max="11250" width="0" style="41" hidden="1" customWidth="1"/>
    <col min="11251" max="11495" width="9.140625" style="41"/>
    <col min="11496" max="11496" width="5.5703125" style="41" customWidth="1"/>
    <col min="11497" max="11497" width="58" style="41" customWidth="1"/>
    <col min="11498" max="11498" width="24.140625" style="41" customWidth="1"/>
    <col min="11499" max="11500" width="0" style="41" hidden="1" customWidth="1"/>
    <col min="11501" max="11501" width="61.42578125" style="41" customWidth="1"/>
    <col min="11502" max="11502" width="62.140625" style="41" customWidth="1"/>
    <col min="11503" max="11506" width="0" style="41" hidden="1" customWidth="1"/>
    <col min="11507" max="11751" width="9.140625" style="41"/>
    <col min="11752" max="11752" width="5.5703125" style="41" customWidth="1"/>
    <col min="11753" max="11753" width="58" style="41" customWidth="1"/>
    <col min="11754" max="11754" width="24.140625" style="41" customWidth="1"/>
    <col min="11755" max="11756" width="0" style="41" hidden="1" customWidth="1"/>
    <col min="11757" max="11757" width="61.42578125" style="41" customWidth="1"/>
    <col min="11758" max="11758" width="62.140625" style="41" customWidth="1"/>
    <col min="11759" max="11762" width="0" style="41" hidden="1" customWidth="1"/>
    <col min="11763" max="12007" width="9.140625" style="41"/>
    <col min="12008" max="12008" width="5.5703125" style="41" customWidth="1"/>
    <col min="12009" max="12009" width="58" style="41" customWidth="1"/>
    <col min="12010" max="12010" width="24.140625" style="41" customWidth="1"/>
    <col min="12011" max="12012" width="0" style="41" hidden="1" customWidth="1"/>
    <col min="12013" max="12013" width="61.42578125" style="41" customWidth="1"/>
    <col min="12014" max="12014" width="62.140625" style="41" customWidth="1"/>
    <col min="12015" max="12018" width="0" style="41" hidden="1" customWidth="1"/>
    <col min="12019" max="12263" width="9.140625" style="41"/>
    <col min="12264" max="12264" width="5.5703125" style="41" customWidth="1"/>
    <col min="12265" max="12265" width="58" style="41" customWidth="1"/>
    <col min="12266" max="12266" width="24.140625" style="41" customWidth="1"/>
    <col min="12267" max="12268" width="0" style="41" hidden="1" customWidth="1"/>
    <col min="12269" max="12269" width="61.42578125" style="41" customWidth="1"/>
    <col min="12270" max="12270" width="62.140625" style="41" customWidth="1"/>
    <col min="12271" max="12274" width="0" style="41" hidden="1" customWidth="1"/>
    <col min="12275" max="12519" width="9.140625" style="41"/>
    <col min="12520" max="12520" width="5.5703125" style="41" customWidth="1"/>
    <col min="12521" max="12521" width="58" style="41" customWidth="1"/>
    <col min="12522" max="12522" width="24.140625" style="41" customWidth="1"/>
    <col min="12523" max="12524" width="0" style="41" hidden="1" customWidth="1"/>
    <col min="12525" max="12525" width="61.42578125" style="41" customWidth="1"/>
    <col min="12526" max="12526" width="62.140625" style="41" customWidth="1"/>
    <col min="12527" max="12530" width="0" style="41" hidden="1" customWidth="1"/>
    <col min="12531" max="12775" width="9.140625" style="41"/>
    <col min="12776" max="12776" width="5.5703125" style="41" customWidth="1"/>
    <col min="12777" max="12777" width="58" style="41" customWidth="1"/>
    <col min="12778" max="12778" width="24.140625" style="41" customWidth="1"/>
    <col min="12779" max="12780" width="0" style="41" hidden="1" customWidth="1"/>
    <col min="12781" max="12781" width="61.42578125" style="41" customWidth="1"/>
    <col min="12782" max="12782" width="62.140625" style="41" customWidth="1"/>
    <col min="12783" max="12786" width="0" style="41" hidden="1" customWidth="1"/>
    <col min="12787" max="13031" width="9.140625" style="41"/>
    <col min="13032" max="13032" width="5.5703125" style="41" customWidth="1"/>
    <col min="13033" max="13033" width="58" style="41" customWidth="1"/>
    <col min="13034" max="13034" width="24.140625" style="41" customWidth="1"/>
    <col min="13035" max="13036" width="0" style="41" hidden="1" customWidth="1"/>
    <col min="13037" max="13037" width="61.42578125" style="41" customWidth="1"/>
    <col min="13038" max="13038" width="62.140625" style="41" customWidth="1"/>
    <col min="13039" max="13042" width="0" style="41" hidden="1" customWidth="1"/>
    <col min="13043" max="13287" width="9.140625" style="41"/>
    <col min="13288" max="13288" width="5.5703125" style="41" customWidth="1"/>
    <col min="13289" max="13289" width="58" style="41" customWidth="1"/>
    <col min="13290" max="13290" width="24.140625" style="41" customWidth="1"/>
    <col min="13291" max="13292" width="0" style="41" hidden="1" customWidth="1"/>
    <col min="13293" max="13293" width="61.42578125" style="41" customWidth="1"/>
    <col min="13294" max="13294" width="62.140625" style="41" customWidth="1"/>
    <col min="13295" max="13298" width="0" style="41" hidden="1" customWidth="1"/>
    <col min="13299" max="13543" width="9.140625" style="41"/>
    <col min="13544" max="13544" width="5.5703125" style="41" customWidth="1"/>
    <col min="13545" max="13545" width="58" style="41" customWidth="1"/>
    <col min="13546" max="13546" width="24.140625" style="41" customWidth="1"/>
    <col min="13547" max="13548" width="0" style="41" hidden="1" customWidth="1"/>
    <col min="13549" max="13549" width="61.42578125" style="41" customWidth="1"/>
    <col min="13550" max="13550" width="62.140625" style="41" customWidth="1"/>
    <col min="13551" max="13554" width="0" style="41" hidden="1" customWidth="1"/>
    <col min="13555" max="13799" width="9.140625" style="41"/>
    <col min="13800" max="13800" width="5.5703125" style="41" customWidth="1"/>
    <col min="13801" max="13801" width="58" style="41" customWidth="1"/>
    <col min="13802" max="13802" width="24.140625" style="41" customWidth="1"/>
    <col min="13803" max="13804" width="0" style="41" hidden="1" customWidth="1"/>
    <col min="13805" max="13805" width="61.42578125" style="41" customWidth="1"/>
    <col min="13806" max="13806" width="62.140625" style="41" customWidth="1"/>
    <col min="13807" max="13810" width="0" style="41" hidden="1" customWidth="1"/>
    <col min="13811" max="14055" width="9.140625" style="41"/>
    <col min="14056" max="14056" width="5.5703125" style="41" customWidth="1"/>
    <col min="14057" max="14057" width="58" style="41" customWidth="1"/>
    <col min="14058" max="14058" width="24.140625" style="41" customWidth="1"/>
    <col min="14059" max="14060" width="0" style="41" hidden="1" customWidth="1"/>
    <col min="14061" max="14061" width="61.42578125" style="41" customWidth="1"/>
    <col min="14062" max="14062" width="62.140625" style="41" customWidth="1"/>
    <col min="14063" max="14066" width="0" style="41" hidden="1" customWidth="1"/>
    <col min="14067" max="14311" width="9.140625" style="41"/>
    <col min="14312" max="14312" width="5.5703125" style="41" customWidth="1"/>
    <col min="14313" max="14313" width="58" style="41" customWidth="1"/>
    <col min="14314" max="14314" width="24.140625" style="41" customWidth="1"/>
    <col min="14315" max="14316" width="0" style="41" hidden="1" customWidth="1"/>
    <col min="14317" max="14317" width="61.42578125" style="41" customWidth="1"/>
    <col min="14318" max="14318" width="62.140625" style="41" customWidth="1"/>
    <col min="14319" max="14322" width="0" style="41" hidden="1" customWidth="1"/>
    <col min="14323" max="14567" width="9.140625" style="41"/>
    <col min="14568" max="14568" width="5.5703125" style="41" customWidth="1"/>
    <col min="14569" max="14569" width="58" style="41" customWidth="1"/>
    <col min="14570" max="14570" width="24.140625" style="41" customWidth="1"/>
    <col min="14571" max="14572" width="0" style="41" hidden="1" customWidth="1"/>
    <col min="14573" max="14573" width="61.42578125" style="41" customWidth="1"/>
    <col min="14574" max="14574" width="62.140625" style="41" customWidth="1"/>
    <col min="14575" max="14578" width="0" style="41" hidden="1" customWidth="1"/>
    <col min="14579" max="14823" width="9.140625" style="41"/>
    <col min="14824" max="14824" width="5.5703125" style="41" customWidth="1"/>
    <col min="14825" max="14825" width="58" style="41" customWidth="1"/>
    <col min="14826" max="14826" width="24.140625" style="41" customWidth="1"/>
    <col min="14827" max="14828" width="0" style="41" hidden="1" customWidth="1"/>
    <col min="14829" max="14829" width="61.42578125" style="41" customWidth="1"/>
    <col min="14830" max="14830" width="62.140625" style="41" customWidth="1"/>
    <col min="14831" max="14834" width="0" style="41" hidden="1" customWidth="1"/>
    <col min="14835" max="15079" width="9.140625" style="41"/>
    <col min="15080" max="15080" width="5.5703125" style="41" customWidth="1"/>
    <col min="15081" max="15081" width="58" style="41" customWidth="1"/>
    <col min="15082" max="15082" width="24.140625" style="41" customWidth="1"/>
    <col min="15083" max="15084" width="0" style="41" hidden="1" customWidth="1"/>
    <col min="15085" max="15085" width="61.42578125" style="41" customWidth="1"/>
    <col min="15086" max="15086" width="62.140625" style="41" customWidth="1"/>
    <col min="15087" max="15090" width="0" style="41" hidden="1" customWidth="1"/>
    <col min="15091" max="15335" width="9.140625" style="41"/>
    <col min="15336" max="15336" width="5.5703125" style="41" customWidth="1"/>
    <col min="15337" max="15337" width="58" style="41" customWidth="1"/>
    <col min="15338" max="15338" width="24.140625" style="41" customWidth="1"/>
    <col min="15339" max="15340" width="0" style="41" hidden="1" customWidth="1"/>
    <col min="15341" max="15341" width="61.42578125" style="41" customWidth="1"/>
    <col min="15342" max="15342" width="62.140625" style="41" customWidth="1"/>
    <col min="15343" max="15346" width="0" style="41" hidden="1" customWidth="1"/>
    <col min="15347" max="15591" width="9.140625" style="41"/>
    <col min="15592" max="15592" width="5.5703125" style="41" customWidth="1"/>
    <col min="15593" max="15593" width="58" style="41" customWidth="1"/>
    <col min="15594" max="15594" width="24.140625" style="41" customWidth="1"/>
    <col min="15595" max="15596" width="0" style="41" hidden="1" customWidth="1"/>
    <col min="15597" max="15597" width="61.42578125" style="41" customWidth="1"/>
    <col min="15598" max="15598" width="62.140625" style="41" customWidth="1"/>
    <col min="15599" max="15602" width="0" style="41" hidden="1" customWidth="1"/>
    <col min="15603" max="15847" width="9.140625" style="41"/>
    <col min="15848" max="15848" width="5.5703125" style="41" customWidth="1"/>
    <col min="15849" max="15849" width="58" style="41" customWidth="1"/>
    <col min="15850" max="15850" width="24.140625" style="41" customWidth="1"/>
    <col min="15851" max="15852" width="0" style="41" hidden="1" customWidth="1"/>
    <col min="15853" max="15853" width="61.42578125" style="41" customWidth="1"/>
    <col min="15854" max="15854" width="62.140625" style="41" customWidth="1"/>
    <col min="15855" max="15858" width="0" style="41" hidden="1" customWidth="1"/>
    <col min="15859" max="16103" width="9.140625" style="41"/>
    <col min="16104" max="16104" width="5.5703125" style="41" customWidth="1"/>
    <col min="16105" max="16105" width="58" style="41" customWidth="1"/>
    <col min="16106" max="16106" width="24.140625" style="41" customWidth="1"/>
    <col min="16107" max="16108" width="0" style="41" hidden="1" customWidth="1"/>
    <col min="16109" max="16109" width="61.42578125" style="41" customWidth="1"/>
    <col min="16110" max="16110" width="62.140625" style="41" customWidth="1"/>
    <col min="16111" max="16114" width="0" style="41" hidden="1" customWidth="1"/>
    <col min="16115" max="16358" width="9.140625" style="41"/>
    <col min="16359" max="16384" width="8.85546875" style="41" customWidth="1"/>
  </cols>
  <sheetData>
    <row r="1" spans="2:11">
      <c r="C1" s="42" t="s">
        <v>123</v>
      </c>
      <c r="I1" s="42" t="s">
        <v>123</v>
      </c>
    </row>
    <row r="2" spans="2:11">
      <c r="C2" s="44">
        <v>45047</v>
      </c>
      <c r="I2" s="44">
        <v>44682</v>
      </c>
    </row>
    <row r="3" spans="2:11">
      <c r="B3" s="45"/>
      <c r="C3" s="46" t="s">
        <v>124</v>
      </c>
      <c r="I3" s="46" t="s">
        <v>124</v>
      </c>
    </row>
    <row r="4" spans="2:11" ht="24.95" customHeight="1" thickBot="1">
      <c r="B4" s="47" t="s">
        <v>125</v>
      </c>
      <c r="C4" s="48" t="s">
        <v>126</v>
      </c>
      <c r="D4" s="47" t="s">
        <v>127</v>
      </c>
      <c r="E4" s="49" t="s">
        <v>128</v>
      </c>
      <c r="F4" s="49" t="s">
        <v>129</v>
      </c>
      <c r="I4" s="48" t="s">
        <v>126</v>
      </c>
      <c r="J4" s="622" t="s">
        <v>429</v>
      </c>
    </row>
    <row r="5" spans="2:11" ht="39.950000000000003" customHeight="1" thickBot="1">
      <c r="B5" s="623" t="s">
        <v>130</v>
      </c>
      <c r="C5" s="51">
        <f>'[18]DC  CNA  DC III'!I8</f>
        <v>20.792100000000001</v>
      </c>
      <c r="D5" s="753" t="s">
        <v>131</v>
      </c>
      <c r="E5" s="751" t="s">
        <v>132</v>
      </c>
      <c r="F5" s="751" t="s">
        <v>430</v>
      </c>
      <c r="G5" s="54"/>
      <c r="H5" s="54"/>
      <c r="I5" s="624">
        <v>20</v>
      </c>
      <c r="J5" s="625">
        <f t="shared" ref="J5:J34" si="0">C5-I5</f>
        <v>0.79210000000000136</v>
      </c>
      <c r="K5" s="626">
        <f>J5/C5</f>
        <v>3.8096199999038162E-2</v>
      </c>
    </row>
    <row r="6" spans="2:11" ht="42.6" customHeight="1" thickBot="1">
      <c r="B6" s="627" t="s">
        <v>134</v>
      </c>
      <c r="C6" s="53">
        <f>C5*2080</f>
        <v>43247.567999999999</v>
      </c>
      <c r="D6" s="754"/>
      <c r="E6" s="752"/>
      <c r="F6" s="752"/>
      <c r="G6" s="57"/>
      <c r="H6" s="57"/>
      <c r="I6" s="628">
        <v>41600</v>
      </c>
      <c r="J6" s="629">
        <f t="shared" si="0"/>
        <v>1647.5679999999993</v>
      </c>
      <c r="K6" s="626">
        <f t="shared" ref="K6:K34" si="1">J6/C6</f>
        <v>3.8096199999038079E-2</v>
      </c>
    </row>
    <row r="7" spans="2:11" ht="27" thickBot="1">
      <c r="B7" s="50" t="s">
        <v>135</v>
      </c>
      <c r="C7" s="51">
        <f>'[18]DC  CNA  DC III'!I21</f>
        <v>27.027519999999999</v>
      </c>
      <c r="D7" s="54" t="s">
        <v>136</v>
      </c>
      <c r="E7" s="751" t="s">
        <v>137</v>
      </c>
      <c r="F7" s="751" t="s">
        <v>138</v>
      </c>
      <c r="G7" s="54"/>
      <c r="H7" s="54"/>
      <c r="I7" s="624">
        <v>25.580080000000002</v>
      </c>
      <c r="J7" s="625">
        <f t="shared" si="0"/>
        <v>1.4474399999999967</v>
      </c>
      <c r="K7" s="626">
        <f t="shared" si="1"/>
        <v>5.355430316951007E-2</v>
      </c>
    </row>
    <row r="8" spans="2:11" ht="46.5" customHeight="1" thickBot="1">
      <c r="B8" s="55" t="s">
        <v>139</v>
      </c>
      <c r="C8" s="56">
        <f>C7*2080</f>
        <v>56217.241600000001</v>
      </c>
      <c r="D8" s="43" t="s">
        <v>431</v>
      </c>
      <c r="E8" s="755"/>
      <c r="F8" s="755"/>
      <c r="G8" s="57"/>
      <c r="H8" s="57"/>
      <c r="I8" s="630">
        <v>53206.566400000003</v>
      </c>
      <c r="J8" s="629">
        <f t="shared" si="0"/>
        <v>3010.6751999999979</v>
      </c>
      <c r="K8" s="626">
        <f t="shared" si="1"/>
        <v>5.3554303169510147E-2</v>
      </c>
    </row>
    <row r="9" spans="2:11" ht="26.1" customHeight="1" thickBot="1">
      <c r="B9" s="50" t="s">
        <v>141</v>
      </c>
      <c r="C9" s="51">
        <f>'[18]DC  CNA  DC III'!I13</f>
        <v>21.417999999999999</v>
      </c>
      <c r="D9" s="54"/>
      <c r="E9" s="751" t="s">
        <v>142</v>
      </c>
      <c r="F9" s="751" t="s">
        <v>432</v>
      </c>
      <c r="G9" s="54"/>
      <c r="H9" s="54"/>
      <c r="I9" s="624">
        <v>20</v>
      </c>
      <c r="J9" s="625">
        <f t="shared" si="0"/>
        <v>1.4179999999999993</v>
      </c>
      <c r="K9" s="626">
        <f t="shared" si="1"/>
        <v>6.6205994957512337E-2</v>
      </c>
    </row>
    <row r="10" spans="2:11" ht="27" thickBot="1">
      <c r="B10" s="52" t="s">
        <v>144</v>
      </c>
      <c r="C10" s="53">
        <f>'[18]DC  CNA  DC III'!J13</f>
        <v>44549.439999999995</v>
      </c>
      <c r="D10" s="57"/>
      <c r="E10" s="752"/>
      <c r="F10" s="752"/>
      <c r="I10" s="628">
        <v>41600</v>
      </c>
      <c r="J10" s="629">
        <f t="shared" si="0"/>
        <v>2949.4399999999951</v>
      </c>
      <c r="K10" s="626">
        <f t="shared" si="1"/>
        <v>6.6205994957512268E-2</v>
      </c>
    </row>
    <row r="11" spans="2:11" ht="27" thickBot="1">
      <c r="B11" s="50" t="s">
        <v>145</v>
      </c>
      <c r="C11" s="51">
        <f>'[18]Case Social Worker.Manager'!J6</f>
        <v>30.979999999999997</v>
      </c>
      <c r="D11" s="54" t="s">
        <v>146</v>
      </c>
      <c r="E11" s="751" t="s">
        <v>147</v>
      </c>
      <c r="F11" s="751" t="s">
        <v>148</v>
      </c>
      <c r="G11" s="50"/>
      <c r="H11" s="54"/>
      <c r="I11" s="624">
        <v>28.180799999999998</v>
      </c>
      <c r="J11" s="625">
        <f t="shared" si="0"/>
        <v>2.799199999999999</v>
      </c>
      <c r="K11" s="626">
        <f t="shared" si="1"/>
        <v>9.0355067785668153E-2</v>
      </c>
    </row>
    <row r="12" spans="2:11" ht="27" thickBot="1">
      <c r="B12" s="55" t="s">
        <v>149</v>
      </c>
      <c r="C12" s="56">
        <f>C11*2080</f>
        <v>64438.399999999994</v>
      </c>
      <c r="D12" s="41" t="s">
        <v>150</v>
      </c>
      <c r="E12" s="755"/>
      <c r="F12" s="755"/>
      <c r="G12" s="52"/>
      <c r="H12" s="57"/>
      <c r="I12" s="630">
        <v>58616.063999999998</v>
      </c>
      <c r="J12" s="625">
        <f t="shared" si="0"/>
        <v>5822.3359999999957</v>
      </c>
      <c r="K12" s="626">
        <f t="shared" si="1"/>
        <v>9.0355067785668111E-2</v>
      </c>
    </row>
    <row r="13" spans="2:11" ht="53.25" thickBot="1">
      <c r="B13" s="58" t="s">
        <v>151</v>
      </c>
      <c r="C13" s="51">
        <f>'[18]Case Social Worker.Manager'!J13</f>
        <v>33.755499999999998</v>
      </c>
      <c r="D13" s="54" t="s">
        <v>152</v>
      </c>
      <c r="E13" s="751" t="s">
        <v>153</v>
      </c>
      <c r="F13" s="751" t="s">
        <v>154</v>
      </c>
      <c r="G13" s="50"/>
      <c r="H13" s="54"/>
      <c r="I13" s="624">
        <v>30.9283</v>
      </c>
      <c r="J13" s="625">
        <f t="shared" si="0"/>
        <v>2.8271999999999977</v>
      </c>
      <c r="K13" s="626">
        <f t="shared" si="1"/>
        <v>8.3755239886833199E-2</v>
      </c>
    </row>
    <row r="14" spans="2:11" ht="53.25" thickBot="1">
      <c r="B14" s="59" t="s">
        <v>155</v>
      </c>
      <c r="C14" s="53">
        <f>C13*2080</f>
        <v>70211.44</v>
      </c>
      <c r="D14" s="57" t="s">
        <v>156</v>
      </c>
      <c r="E14" s="752"/>
      <c r="F14" s="752"/>
      <c r="G14" s="52"/>
      <c r="H14" s="57"/>
      <c r="I14" s="628">
        <v>64330.864000000001</v>
      </c>
      <c r="J14" s="625">
        <f t="shared" si="0"/>
        <v>5880.5760000000009</v>
      </c>
      <c r="K14" s="626">
        <f t="shared" si="1"/>
        <v>8.3755239886833269E-2</v>
      </c>
    </row>
    <row r="15" spans="2:11" ht="27" thickBot="1">
      <c r="B15" s="50" t="s">
        <v>157</v>
      </c>
      <c r="C15" s="51">
        <f>[18]Nursing!J4</f>
        <v>35.506799999999998</v>
      </c>
      <c r="D15" s="54"/>
      <c r="E15" s="751" t="s">
        <v>158</v>
      </c>
      <c r="F15" s="751" t="s">
        <v>159</v>
      </c>
      <c r="I15" s="624">
        <v>31.575200000000002</v>
      </c>
      <c r="J15" s="625">
        <f t="shared" si="0"/>
        <v>3.931599999999996</v>
      </c>
      <c r="K15" s="626">
        <f t="shared" si="1"/>
        <v>0.1107280858877735</v>
      </c>
    </row>
    <row r="16" spans="2:11" ht="27" thickBot="1">
      <c r="B16" s="52" t="s">
        <v>160</v>
      </c>
      <c r="C16" s="53">
        <f>C15*2080</f>
        <v>73854.144</v>
      </c>
      <c r="D16" s="57" t="s">
        <v>161</v>
      </c>
      <c r="E16" s="752"/>
      <c r="F16" s="752"/>
      <c r="I16" s="628">
        <v>65676.416000000012</v>
      </c>
      <c r="J16" s="625">
        <f t="shared" si="0"/>
        <v>8177.7279999999882</v>
      </c>
      <c r="K16" s="626">
        <f t="shared" si="1"/>
        <v>0.11072808588777346</v>
      </c>
    </row>
    <row r="17" spans="2:11" ht="27" thickBot="1">
      <c r="B17" s="50" t="s">
        <v>162</v>
      </c>
      <c r="C17" s="51">
        <f>[18]Clinical!J8</f>
        <v>40.211399999999998</v>
      </c>
      <c r="D17" s="54" t="s">
        <v>163</v>
      </c>
      <c r="E17" s="751" t="s">
        <v>164</v>
      </c>
      <c r="F17" s="751" t="s">
        <v>165</v>
      </c>
      <c r="G17" s="50"/>
      <c r="H17" s="54"/>
      <c r="I17" s="624">
        <v>38.753100000000003</v>
      </c>
      <c r="J17" s="625">
        <f t="shared" si="0"/>
        <v>1.4582999999999942</v>
      </c>
      <c r="K17" s="626">
        <f t="shared" si="1"/>
        <v>3.6265835061698781E-2</v>
      </c>
    </row>
    <row r="18" spans="2:11" ht="27" thickBot="1">
      <c r="B18" s="52" t="s">
        <v>166</v>
      </c>
      <c r="C18" s="53">
        <f>C17*2080</f>
        <v>83639.712</v>
      </c>
      <c r="D18" s="57"/>
      <c r="E18" s="752"/>
      <c r="F18" s="752"/>
      <c r="G18" s="52"/>
      <c r="H18" s="57"/>
      <c r="I18" s="628">
        <v>80606.448000000004</v>
      </c>
      <c r="J18" s="625">
        <f t="shared" si="0"/>
        <v>3033.2639999999956</v>
      </c>
      <c r="K18" s="626">
        <f t="shared" si="1"/>
        <v>3.6265835061698871E-2</v>
      </c>
    </row>
    <row r="19" spans="2:11" ht="27" thickBot="1">
      <c r="B19" s="50" t="s">
        <v>167</v>
      </c>
      <c r="C19" s="60">
        <f>[18]Therapies!I5</f>
        <v>36.818800000000003</v>
      </c>
      <c r="D19" s="54"/>
      <c r="E19" s="751" t="s">
        <v>168</v>
      </c>
      <c r="F19" s="751" t="s">
        <v>169</v>
      </c>
      <c r="I19" s="631">
        <v>32.740400000000001</v>
      </c>
      <c r="J19" s="625">
        <f t="shared" si="0"/>
        <v>4.078400000000002</v>
      </c>
      <c r="K19" s="626">
        <f t="shared" si="1"/>
        <v>0.11076949819114153</v>
      </c>
    </row>
    <row r="20" spans="2:11" ht="27" thickBot="1">
      <c r="B20" s="52" t="s">
        <v>170</v>
      </c>
      <c r="C20" s="53">
        <f>C19*2080</f>
        <v>76583.104000000007</v>
      </c>
      <c r="D20" s="57"/>
      <c r="E20" s="752"/>
      <c r="F20" s="752"/>
      <c r="I20" s="632">
        <v>68100.032000000007</v>
      </c>
      <c r="J20" s="625">
        <f t="shared" si="0"/>
        <v>8483.0720000000001</v>
      </c>
      <c r="K20" s="626">
        <f t="shared" si="1"/>
        <v>0.11076949819114147</v>
      </c>
    </row>
    <row r="21" spans="2:11" ht="27" thickBot="1">
      <c r="B21" s="55" t="s">
        <v>171</v>
      </c>
      <c r="C21" s="61">
        <f>[18]Management!J4</f>
        <v>38.860399999999998</v>
      </c>
      <c r="D21" s="41" t="s">
        <v>172</v>
      </c>
      <c r="E21" s="751" t="s">
        <v>173</v>
      </c>
      <c r="F21" s="756" t="s">
        <v>174</v>
      </c>
      <c r="G21" s="50"/>
      <c r="H21" s="54"/>
      <c r="I21" s="633">
        <v>38.180400000000006</v>
      </c>
      <c r="J21" s="625">
        <f t="shared" si="0"/>
        <v>0.67999999999999261</v>
      </c>
      <c r="K21" s="626">
        <f t="shared" si="1"/>
        <v>1.749853321118652E-2</v>
      </c>
    </row>
    <row r="22" spans="2:11" ht="27" thickBot="1">
      <c r="B22" s="52" t="s">
        <v>175</v>
      </c>
      <c r="C22" s="53">
        <f>C21*2080</f>
        <v>80829.631999999998</v>
      </c>
      <c r="D22" s="57" t="s">
        <v>176</v>
      </c>
      <c r="E22" s="752"/>
      <c r="F22" s="757"/>
      <c r="G22" s="52"/>
      <c r="H22" s="57"/>
      <c r="I22" s="632">
        <v>79415.232000000018</v>
      </c>
      <c r="J22" s="625">
        <f t="shared" si="0"/>
        <v>1414.3999999999796</v>
      </c>
      <c r="K22" s="626">
        <f t="shared" si="1"/>
        <v>1.7498533211186457E-2</v>
      </c>
    </row>
    <row r="23" spans="2:11" ht="39.950000000000003" customHeight="1" thickBot="1">
      <c r="B23" s="634" t="s">
        <v>433</v>
      </c>
      <c r="C23" s="61">
        <f>[18]Therapies!I11</f>
        <v>39.750500000000002</v>
      </c>
      <c r="D23" s="41" t="s">
        <v>178</v>
      </c>
      <c r="E23" s="751" t="s">
        <v>153</v>
      </c>
      <c r="F23" s="751" t="s">
        <v>434</v>
      </c>
      <c r="G23" s="50"/>
      <c r="H23" s="54"/>
      <c r="I23" s="633">
        <v>38.017499999999998</v>
      </c>
      <c r="J23" s="625">
        <f t="shared" si="0"/>
        <v>1.7330000000000041</v>
      </c>
      <c r="K23" s="626">
        <f t="shared" si="1"/>
        <v>4.3596935887598998E-2</v>
      </c>
    </row>
    <row r="24" spans="2:11" ht="39.950000000000003" customHeight="1" thickBot="1">
      <c r="B24" s="627" t="s">
        <v>435</v>
      </c>
      <c r="C24" s="53">
        <f>C23*2080</f>
        <v>82681.040000000008</v>
      </c>
      <c r="D24" s="57"/>
      <c r="E24" s="752"/>
      <c r="F24" s="752"/>
      <c r="G24" s="52"/>
      <c r="H24" s="57"/>
      <c r="I24" s="632">
        <v>79076.399999999994</v>
      </c>
      <c r="J24" s="625">
        <f t="shared" si="0"/>
        <v>3604.640000000014</v>
      </c>
      <c r="K24" s="626">
        <f t="shared" si="1"/>
        <v>4.359693588759906E-2</v>
      </c>
    </row>
    <row r="25" spans="2:11" ht="27" thickBot="1">
      <c r="B25" s="55" t="s">
        <v>181</v>
      </c>
      <c r="C25" s="61">
        <f>[18]Therapies!I17</f>
        <v>42.784640000000003</v>
      </c>
      <c r="D25" s="41" t="s">
        <v>182</v>
      </c>
      <c r="E25" s="751" t="s">
        <v>153</v>
      </c>
      <c r="F25" s="751" t="s">
        <v>183</v>
      </c>
      <c r="G25" s="55"/>
      <c r="I25" s="633">
        <v>41.25168</v>
      </c>
      <c r="J25" s="625">
        <f t="shared" si="0"/>
        <v>1.5329600000000028</v>
      </c>
      <c r="K25" s="626">
        <f t="shared" si="1"/>
        <v>3.5829680932222469E-2</v>
      </c>
    </row>
    <row r="26" spans="2:11" ht="27" thickBot="1">
      <c r="B26" s="52" t="s">
        <v>184</v>
      </c>
      <c r="C26" s="56">
        <f>C25*2080</f>
        <v>88992.051200000002</v>
      </c>
      <c r="E26" s="752"/>
      <c r="F26" s="752"/>
      <c r="G26" s="52"/>
      <c r="H26" s="57"/>
      <c r="I26" s="633">
        <v>85803.494399999996</v>
      </c>
      <c r="J26" s="625">
        <f t="shared" si="0"/>
        <v>3188.5568000000058</v>
      </c>
      <c r="K26" s="626">
        <f t="shared" si="1"/>
        <v>3.5829680932222469E-2</v>
      </c>
    </row>
    <row r="27" spans="2:11" ht="27" thickBot="1">
      <c r="B27" s="50" t="s">
        <v>185</v>
      </c>
      <c r="C27" s="51">
        <f>[18]Clinical!J14</f>
        <v>48.945399999999999</v>
      </c>
      <c r="D27" s="758" t="s">
        <v>186</v>
      </c>
      <c r="E27" s="751" t="s">
        <v>187</v>
      </c>
      <c r="F27" s="751" t="s">
        <v>188</v>
      </c>
      <c r="G27" s="50"/>
      <c r="H27" s="54"/>
      <c r="I27" s="624">
        <v>48.742200000000004</v>
      </c>
      <c r="J27" s="625">
        <f t="shared" si="0"/>
        <v>0.20319999999999538</v>
      </c>
      <c r="K27" s="626">
        <f t="shared" si="1"/>
        <v>4.1515648048641015E-3</v>
      </c>
    </row>
    <row r="28" spans="2:11" ht="34.5" customHeight="1" thickBot="1">
      <c r="B28" s="52" t="s">
        <v>189</v>
      </c>
      <c r="C28" s="53">
        <f>C27*2080</f>
        <v>101806.432</v>
      </c>
      <c r="D28" s="759"/>
      <c r="E28" s="752"/>
      <c r="F28" s="752"/>
      <c r="G28" s="52"/>
      <c r="H28" s="57"/>
      <c r="I28" s="628">
        <v>101383.77600000001</v>
      </c>
      <c r="J28" s="625">
        <f t="shared" si="0"/>
        <v>422.65599999998813</v>
      </c>
      <c r="K28" s="626">
        <f t="shared" si="1"/>
        <v>4.151564804864079E-3</v>
      </c>
    </row>
    <row r="29" spans="2:11" ht="27" thickBot="1">
      <c r="B29" s="623" t="s">
        <v>436</v>
      </c>
      <c r="C29" s="51">
        <f>[18]Therapies!I21</f>
        <v>44.301760000000002</v>
      </c>
      <c r="D29" s="54"/>
      <c r="E29" s="751" t="s">
        <v>153</v>
      </c>
      <c r="F29" s="751" t="s">
        <v>437</v>
      </c>
      <c r="G29" s="50"/>
      <c r="H29" s="54"/>
      <c r="I29" s="624">
        <v>42.756720000000001</v>
      </c>
      <c r="J29" s="625">
        <f t="shared" si="0"/>
        <v>1.5450400000000002</v>
      </c>
      <c r="K29" s="626">
        <f t="shared" si="1"/>
        <v>3.4875363868162354E-2</v>
      </c>
    </row>
    <row r="30" spans="2:11" ht="27" thickBot="1">
      <c r="B30" s="627" t="s">
        <v>438</v>
      </c>
      <c r="C30" s="53">
        <f>C29*2080</f>
        <v>92147.660799999998</v>
      </c>
      <c r="D30" s="57"/>
      <c r="E30" s="752"/>
      <c r="F30" s="752"/>
      <c r="G30" s="52"/>
      <c r="H30" s="57"/>
      <c r="I30" s="632">
        <v>88933.977599999998</v>
      </c>
      <c r="J30" s="625">
        <f t="shared" si="0"/>
        <v>3213.6831999999995</v>
      </c>
      <c r="K30" s="626">
        <f t="shared" si="1"/>
        <v>3.4875363868162347E-2</v>
      </c>
    </row>
    <row r="31" spans="2:11" ht="27" thickBot="1">
      <c r="B31" s="50" t="s">
        <v>193</v>
      </c>
      <c r="C31" s="51">
        <f>[18]Nursing!J8</f>
        <v>49.818400000000004</v>
      </c>
      <c r="D31" s="54"/>
      <c r="E31" s="751" t="s">
        <v>194</v>
      </c>
      <c r="F31" s="751" t="s">
        <v>195</v>
      </c>
      <c r="G31" s="50"/>
      <c r="H31" s="54"/>
      <c r="I31" s="624">
        <v>49.162799999999997</v>
      </c>
      <c r="J31" s="625">
        <f t="shared" si="0"/>
        <v>0.65560000000000684</v>
      </c>
      <c r="K31" s="626">
        <f t="shared" si="1"/>
        <v>1.3159796380453944E-2</v>
      </c>
    </row>
    <row r="32" spans="2:11" ht="38.450000000000003" customHeight="1" thickBot="1">
      <c r="B32" s="52" t="s">
        <v>196</v>
      </c>
      <c r="C32" s="53">
        <f>C31*2080</f>
        <v>103622.27200000001</v>
      </c>
      <c r="D32" s="57"/>
      <c r="E32" s="752"/>
      <c r="F32" s="752"/>
      <c r="G32" s="52"/>
      <c r="H32" s="57"/>
      <c r="I32" s="632">
        <v>102258.624</v>
      </c>
      <c r="J32" s="625">
        <f t="shared" si="0"/>
        <v>1363.6480000000156</v>
      </c>
      <c r="K32" s="626">
        <f t="shared" si="1"/>
        <v>1.3159796380453958E-2</v>
      </c>
    </row>
    <row r="33" spans="2:11" ht="27" thickBot="1">
      <c r="B33" s="50" t="s">
        <v>197</v>
      </c>
      <c r="C33" s="51">
        <f>[18]Nursing!J13</f>
        <v>67.710800000000006</v>
      </c>
      <c r="D33" s="54"/>
      <c r="E33" s="751" t="s">
        <v>198</v>
      </c>
      <c r="F33" s="751" t="s">
        <v>199</v>
      </c>
      <c r="G33" s="50"/>
      <c r="H33" s="54"/>
      <c r="I33" s="624">
        <v>65.162400000000005</v>
      </c>
      <c r="J33" s="625">
        <f t="shared" si="0"/>
        <v>2.5484000000000009</v>
      </c>
      <c r="K33" s="626">
        <f t="shared" si="1"/>
        <v>3.7636536564329484E-2</v>
      </c>
    </row>
    <row r="34" spans="2:11" ht="27" thickBot="1">
      <c r="B34" s="52" t="s">
        <v>200</v>
      </c>
      <c r="C34" s="53">
        <f>C33*2080</f>
        <v>140838.46400000001</v>
      </c>
      <c r="D34" s="57"/>
      <c r="E34" s="752"/>
      <c r="F34" s="752"/>
      <c r="G34" s="52"/>
      <c r="H34" s="57"/>
      <c r="I34" s="632">
        <v>135537.79200000002</v>
      </c>
      <c r="J34" s="625">
        <f t="shared" si="0"/>
        <v>5300.6719999999914</v>
      </c>
      <c r="K34" s="626">
        <f t="shared" si="1"/>
        <v>3.7636536564329408E-2</v>
      </c>
    </row>
    <row r="35" spans="2:11">
      <c r="K35" s="635">
        <f>AVERAGE(K5:K34)</f>
        <v>5.1765242439199569E-2</v>
      </c>
    </row>
    <row r="36" spans="2:11" ht="52.5">
      <c r="B36" s="636" t="s">
        <v>439</v>
      </c>
      <c r="C36" s="56">
        <f>C6</f>
        <v>43247.567999999999</v>
      </c>
    </row>
    <row r="37" spans="2:11">
      <c r="C37" s="63"/>
    </row>
    <row r="38" spans="2:11">
      <c r="B38" s="64" t="s">
        <v>202</v>
      </c>
      <c r="C38" s="637">
        <v>0.24970000000000001</v>
      </c>
      <c r="D38" s="41" t="s">
        <v>440</v>
      </c>
    </row>
    <row r="39" spans="2:11" ht="34.35" customHeight="1">
      <c r="B39" s="64"/>
      <c r="C39" s="63"/>
      <c r="D39" s="760" t="s">
        <v>204</v>
      </c>
      <c r="E39" s="760"/>
      <c r="F39" s="41"/>
    </row>
    <row r="40" spans="2:11">
      <c r="C40" s="63"/>
    </row>
    <row r="41" spans="2:11">
      <c r="B41" s="64" t="s">
        <v>205</v>
      </c>
      <c r="C41" s="638">
        <v>0.12</v>
      </c>
      <c r="D41" s="41" t="s">
        <v>206</v>
      </c>
    </row>
    <row r="42" spans="2:11">
      <c r="B42" s="64"/>
      <c r="C42" s="639"/>
    </row>
    <row r="43" spans="2:11">
      <c r="B43" s="761" t="s">
        <v>207</v>
      </c>
      <c r="C43" s="761"/>
      <c r="D43" s="761"/>
    </row>
    <row r="44" spans="2:11">
      <c r="B44" s="640" t="s">
        <v>441</v>
      </c>
      <c r="C44" s="56">
        <v>247470</v>
      </c>
      <c r="D44" s="41" t="s">
        <v>442</v>
      </c>
      <c r="I44" s="69">
        <v>247470</v>
      </c>
      <c r="J44" s="621">
        <f t="shared" ref="J44:J52" si="2">C44-I44</f>
        <v>0</v>
      </c>
    </row>
    <row r="45" spans="2:11">
      <c r="B45" s="64" t="s">
        <v>210</v>
      </c>
      <c r="C45" s="56">
        <v>252850</v>
      </c>
      <c r="D45" s="41" t="s">
        <v>443</v>
      </c>
      <c r="I45" s="69">
        <v>206010</v>
      </c>
      <c r="J45" s="621">
        <f t="shared" si="2"/>
        <v>46840</v>
      </c>
    </row>
    <row r="46" spans="2:11">
      <c r="B46" s="64" t="s">
        <v>212</v>
      </c>
      <c r="C46" s="56">
        <f>C34</f>
        <v>140838.46400000001</v>
      </c>
      <c r="D46" s="41" t="s">
        <v>444</v>
      </c>
      <c r="I46" s="69">
        <v>133902.08000000002</v>
      </c>
      <c r="J46" s="621">
        <f t="shared" si="2"/>
        <v>6936.3839999999909</v>
      </c>
    </row>
    <row r="47" spans="2:11">
      <c r="B47" s="64" t="s">
        <v>445</v>
      </c>
      <c r="C47" s="641">
        <f>C6</f>
        <v>43247.567999999999</v>
      </c>
      <c r="D47" s="41" t="s">
        <v>446</v>
      </c>
      <c r="I47" s="69">
        <v>39522</v>
      </c>
      <c r="J47" s="621">
        <f t="shared" si="2"/>
        <v>3725.5679999999993</v>
      </c>
    </row>
    <row r="48" spans="2:11">
      <c r="B48" s="64" t="s">
        <v>447</v>
      </c>
      <c r="C48" s="641">
        <f>AVERAGE(C6,C8)</f>
        <v>49732.404800000004</v>
      </c>
      <c r="D48" s="41" t="s">
        <v>448</v>
      </c>
      <c r="I48" s="69">
        <v>44972</v>
      </c>
      <c r="J48" s="621">
        <f t="shared" si="2"/>
        <v>4760.4048000000039</v>
      </c>
    </row>
    <row r="49" spans="2:10">
      <c r="B49" s="64" t="s">
        <v>449</v>
      </c>
      <c r="C49" s="56">
        <f>C8</f>
        <v>56217.241600000001</v>
      </c>
      <c r="D49" s="41" t="s">
        <v>450</v>
      </c>
      <c r="I49" s="69">
        <v>50422</v>
      </c>
      <c r="J49" s="621">
        <f t="shared" si="2"/>
        <v>5795.2416000000012</v>
      </c>
    </row>
    <row r="50" spans="2:10">
      <c r="B50" s="64" t="s">
        <v>451</v>
      </c>
      <c r="C50" s="56">
        <f>[18]state_M2023_dl!O409*2080</f>
        <v>44847.296000000002</v>
      </c>
      <c r="D50" s="41" t="s">
        <v>452</v>
      </c>
      <c r="I50" s="69">
        <v>39438.464</v>
      </c>
      <c r="J50" s="621">
        <f t="shared" si="2"/>
        <v>5408.8320000000022</v>
      </c>
    </row>
    <row r="51" spans="2:10">
      <c r="B51" s="64" t="s">
        <v>453</v>
      </c>
      <c r="C51" s="641">
        <f>[18]state_M2023_dl!O609*2080</f>
        <v>51381.824000000001</v>
      </c>
      <c r="D51" s="41" t="s">
        <v>454</v>
      </c>
      <c r="I51" s="69">
        <v>49405.824000000001</v>
      </c>
      <c r="J51" s="621">
        <f t="shared" si="2"/>
        <v>1976</v>
      </c>
    </row>
    <row r="52" spans="2:10">
      <c r="B52" s="64" t="s">
        <v>455</v>
      </c>
      <c r="C52" s="641">
        <f>28.49*2080</f>
        <v>59259.199999999997</v>
      </c>
      <c r="D52" s="41" t="s">
        <v>456</v>
      </c>
      <c r="I52" s="69">
        <v>55776.032000000007</v>
      </c>
      <c r="J52" s="621">
        <f t="shared" si="2"/>
        <v>3483.1679999999906</v>
      </c>
    </row>
    <row r="53" spans="2:10">
      <c r="B53" s="64"/>
      <c r="C53" s="641"/>
      <c r="I53" s="69"/>
    </row>
    <row r="54" spans="2:10">
      <c r="B54" s="64"/>
      <c r="C54" s="641">
        <f>AVERAGE(C6,C8)</f>
        <v>49732.404800000004</v>
      </c>
      <c r="I54" s="69"/>
    </row>
    <row r="55" spans="2:10">
      <c r="B55" s="762" t="s">
        <v>457</v>
      </c>
      <c r="C55" s="762"/>
      <c r="D55" s="762"/>
      <c r="E55" s="762"/>
      <c r="F55" s="762"/>
    </row>
    <row r="56" spans="2:10">
      <c r="B56" s="642" t="s">
        <v>458</v>
      </c>
      <c r="C56" s="41" t="s">
        <v>459</v>
      </c>
    </row>
    <row r="57" spans="2:10" ht="66.599999999999994" customHeight="1">
      <c r="B57" s="643" t="s">
        <v>460</v>
      </c>
      <c r="C57" s="760" t="s">
        <v>461</v>
      </c>
      <c r="D57" s="760"/>
      <c r="E57" s="760"/>
      <c r="F57" s="760"/>
      <c r="G57" s="760"/>
      <c r="H57" s="760"/>
      <c r="I57" s="760"/>
      <c r="J57" s="760"/>
    </row>
  </sheetData>
  <mergeCells count="36">
    <mergeCell ref="D39:E39"/>
    <mergeCell ref="B43:D43"/>
    <mergeCell ref="B55:F55"/>
    <mergeCell ref="C57:J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C0951-D075-4532-9020-E77870210A3C}">
  <dimension ref="A1:DF39"/>
  <sheetViews>
    <sheetView topLeftCell="BR1" workbookViewId="0">
      <selection activeCell="CB33" sqref="CB33"/>
    </sheetView>
  </sheetViews>
  <sheetFormatPr defaultRowHeight="12.75"/>
  <cols>
    <col min="1" max="1" width="38.42578125" style="1" customWidth="1"/>
    <col min="2" max="2" width="12.85546875" style="6" customWidth="1"/>
    <col min="3" max="82" width="7.7109375" style="1" customWidth="1"/>
    <col min="83" max="16384" width="9.140625" style="1"/>
  </cols>
  <sheetData>
    <row r="1" spans="1:110" ht="18">
      <c r="A1" s="747" t="s">
        <v>0</v>
      </c>
      <c r="B1" s="748"/>
    </row>
    <row r="2" spans="1:110" ht="15.75">
      <c r="A2" s="2" t="s">
        <v>403</v>
      </c>
      <c r="B2" s="3"/>
    </row>
    <row r="3" spans="1:110" ht="15.75" thickBot="1">
      <c r="A3" s="4" t="s">
        <v>2</v>
      </c>
      <c r="B3" s="5"/>
    </row>
    <row r="6" spans="1:110">
      <c r="CK6" s="592" t="s">
        <v>404</v>
      </c>
      <c r="CL6" s="592" t="s">
        <v>405</v>
      </c>
      <c r="CM6" s="592" t="s">
        <v>406</v>
      </c>
      <c r="CN6" s="592" t="s">
        <v>407</v>
      </c>
      <c r="CO6" s="593" t="s">
        <v>408</v>
      </c>
      <c r="CP6" s="593" t="s">
        <v>409</v>
      </c>
      <c r="CQ6" s="593" t="s">
        <v>410</v>
      </c>
      <c r="CR6" s="593" t="s">
        <v>411</v>
      </c>
    </row>
    <row r="7" spans="1:110" s="6" customFormat="1">
      <c r="B7" s="6" t="s">
        <v>12</v>
      </c>
      <c r="C7" s="12" t="s">
        <v>13</v>
      </c>
      <c r="D7" s="12" t="s">
        <v>14</v>
      </c>
      <c r="E7" s="12" t="s">
        <v>15</v>
      </c>
      <c r="F7" s="12" t="s">
        <v>16</v>
      </c>
      <c r="G7" s="12" t="s">
        <v>17</v>
      </c>
      <c r="H7" s="12" t="s">
        <v>18</v>
      </c>
      <c r="I7" s="12" t="s">
        <v>19</v>
      </c>
      <c r="J7" s="12" t="s">
        <v>20</v>
      </c>
      <c r="K7" s="12" t="s">
        <v>21</v>
      </c>
      <c r="L7" s="12" t="s">
        <v>22</v>
      </c>
      <c r="M7" s="12" t="s">
        <v>23</v>
      </c>
      <c r="N7" s="12" t="s">
        <v>24</v>
      </c>
      <c r="O7" s="12" t="s">
        <v>25</v>
      </c>
      <c r="P7" s="12" t="s">
        <v>26</v>
      </c>
      <c r="Q7" s="12" t="s">
        <v>27</v>
      </c>
      <c r="R7" s="12" t="s">
        <v>28</v>
      </c>
      <c r="S7" s="12" t="s">
        <v>29</v>
      </c>
      <c r="T7" s="12" t="s">
        <v>30</v>
      </c>
      <c r="U7" s="12" t="s">
        <v>31</v>
      </c>
      <c r="V7" s="12" t="s">
        <v>32</v>
      </c>
      <c r="W7" s="12" t="s">
        <v>33</v>
      </c>
      <c r="X7" s="12" t="s">
        <v>34</v>
      </c>
      <c r="Y7" s="12" t="s">
        <v>35</v>
      </c>
      <c r="Z7" s="12" t="s">
        <v>36</v>
      </c>
      <c r="AA7" s="12" t="s">
        <v>37</v>
      </c>
      <c r="AB7" s="12" t="s">
        <v>38</v>
      </c>
      <c r="AC7" s="12" t="s">
        <v>39</v>
      </c>
      <c r="AD7" s="12" t="s">
        <v>40</v>
      </c>
      <c r="AE7" s="12" t="s">
        <v>41</v>
      </c>
      <c r="AF7" s="12" t="s">
        <v>42</v>
      </c>
      <c r="AG7" s="12" t="s">
        <v>43</v>
      </c>
      <c r="AH7" s="12" t="s">
        <v>44</v>
      </c>
      <c r="AI7" s="12" t="s">
        <v>45</v>
      </c>
      <c r="AJ7" s="12" t="s">
        <v>46</v>
      </c>
      <c r="AK7" s="12" t="s">
        <v>47</v>
      </c>
      <c r="AL7" s="12" t="s">
        <v>48</v>
      </c>
      <c r="AM7" s="12" t="s">
        <v>49</v>
      </c>
      <c r="AN7" s="12" t="s">
        <v>50</v>
      </c>
      <c r="AO7" s="12" t="s">
        <v>51</v>
      </c>
      <c r="AP7" s="12" t="s">
        <v>52</v>
      </c>
      <c r="AQ7" s="12" t="s">
        <v>53</v>
      </c>
      <c r="AR7" s="12" t="s">
        <v>54</v>
      </c>
      <c r="AS7" s="12" t="s">
        <v>55</v>
      </c>
      <c r="AT7" s="12" t="s">
        <v>56</v>
      </c>
      <c r="AU7" s="6" t="s">
        <v>57</v>
      </c>
      <c r="AV7" s="6" t="s">
        <v>58</v>
      </c>
      <c r="AW7" s="6" t="s">
        <v>59</v>
      </c>
      <c r="AX7" s="6" t="s">
        <v>60</v>
      </c>
      <c r="AY7" s="6" t="s">
        <v>61</v>
      </c>
      <c r="AZ7" s="6" t="s">
        <v>62</v>
      </c>
      <c r="BA7" s="6" t="s">
        <v>63</v>
      </c>
      <c r="BB7" s="6" t="s">
        <v>64</v>
      </c>
      <c r="BC7" s="6" t="s">
        <v>65</v>
      </c>
      <c r="BD7" s="6" t="s">
        <v>66</v>
      </c>
      <c r="BE7" s="6" t="s">
        <v>67</v>
      </c>
      <c r="BF7" s="6" t="s">
        <v>68</v>
      </c>
      <c r="BG7" s="6" t="s">
        <v>69</v>
      </c>
      <c r="BH7" s="6" t="s">
        <v>70</v>
      </c>
      <c r="BI7" s="6" t="s">
        <v>71</v>
      </c>
      <c r="BJ7" s="6" t="s">
        <v>72</v>
      </c>
      <c r="BK7" s="6" t="s">
        <v>73</v>
      </c>
      <c r="BL7" s="6" t="s">
        <v>74</v>
      </c>
      <c r="BM7" s="6" t="s">
        <v>75</v>
      </c>
      <c r="BN7" s="6" t="s">
        <v>76</v>
      </c>
      <c r="BO7" s="6" t="s">
        <v>77</v>
      </c>
      <c r="BP7" s="6" t="s">
        <v>78</v>
      </c>
      <c r="BQ7" s="6" t="s">
        <v>79</v>
      </c>
      <c r="BR7" s="6" t="s">
        <v>80</v>
      </c>
      <c r="BS7" s="6" t="s">
        <v>81</v>
      </c>
      <c r="BT7" s="6" t="s">
        <v>82</v>
      </c>
      <c r="BU7" s="6" t="s">
        <v>83</v>
      </c>
      <c r="BV7" s="6" t="s">
        <v>84</v>
      </c>
      <c r="BW7" s="6" t="s">
        <v>85</v>
      </c>
      <c r="BX7" s="6" t="s">
        <v>86</v>
      </c>
      <c r="BY7" s="6" t="s">
        <v>87</v>
      </c>
      <c r="BZ7" s="6" t="s">
        <v>88</v>
      </c>
      <c r="CA7" s="6" t="s">
        <v>89</v>
      </c>
      <c r="CB7" s="6" t="s">
        <v>90</v>
      </c>
      <c r="CC7" s="6" t="s">
        <v>91</v>
      </c>
      <c r="CD7" s="6" t="s">
        <v>92</v>
      </c>
      <c r="CE7" s="6" t="s">
        <v>93</v>
      </c>
      <c r="CF7" s="6" t="s">
        <v>94</v>
      </c>
      <c r="CG7" s="6" t="s">
        <v>95</v>
      </c>
      <c r="CH7" s="6" t="s">
        <v>96</v>
      </c>
      <c r="CI7" s="6" t="s">
        <v>97</v>
      </c>
      <c r="CJ7" s="6" t="s">
        <v>98</v>
      </c>
      <c r="CK7" s="6" t="s">
        <v>99</v>
      </c>
      <c r="CL7" s="6" t="s">
        <v>100</v>
      </c>
      <c r="CM7" s="6" t="s">
        <v>101</v>
      </c>
      <c r="CN7" s="6" t="s">
        <v>102</v>
      </c>
      <c r="CO7" s="6" t="s">
        <v>103</v>
      </c>
      <c r="CP7" s="6" t="s">
        <v>104</v>
      </c>
      <c r="CQ7" s="6" t="s">
        <v>105</v>
      </c>
      <c r="CR7" s="6" t="s">
        <v>106</v>
      </c>
      <c r="CS7" s="6" t="s">
        <v>107</v>
      </c>
      <c r="CT7" s="6" t="s">
        <v>108</v>
      </c>
      <c r="CU7" s="6" t="s">
        <v>412</v>
      </c>
      <c r="CV7" s="6" t="s">
        <v>413</v>
      </c>
      <c r="CW7" s="6" t="s">
        <v>414</v>
      </c>
      <c r="CX7" s="6" t="s">
        <v>415</v>
      </c>
      <c r="CY7" s="6" t="s">
        <v>416</v>
      </c>
      <c r="CZ7" s="6" t="s">
        <v>417</v>
      </c>
      <c r="DA7" s="6" t="s">
        <v>418</v>
      </c>
      <c r="DB7" s="6" t="s">
        <v>419</v>
      </c>
      <c r="DC7" s="6" t="s">
        <v>420</v>
      </c>
      <c r="DD7" s="6" t="s">
        <v>421</v>
      </c>
      <c r="DE7" s="6" t="s">
        <v>422</v>
      </c>
      <c r="DF7" s="6" t="s">
        <v>423</v>
      </c>
    </row>
    <row r="8" spans="1:110">
      <c r="A8" s="6" t="s">
        <v>109</v>
      </c>
      <c r="B8" s="6" t="s">
        <v>110</v>
      </c>
      <c r="C8" s="13">
        <v>2.0063967944573302</v>
      </c>
      <c r="D8" s="13">
        <v>2.0292109297185799</v>
      </c>
      <c r="E8" s="13">
        <v>2.0375058295190498</v>
      </c>
      <c r="F8" s="13">
        <v>2.06056286491336</v>
      </c>
      <c r="G8" s="13">
        <v>2.0745428604526199</v>
      </c>
      <c r="H8" s="13">
        <v>2.0848413941935999</v>
      </c>
      <c r="I8" s="13">
        <v>2.1205826507328598</v>
      </c>
      <c r="J8" s="13">
        <v>2.1424708889297399</v>
      </c>
      <c r="K8" s="13">
        <v>2.1577842143700501</v>
      </c>
      <c r="L8" s="13">
        <v>2.1833771506398501</v>
      </c>
      <c r="M8" s="13">
        <v>2.2041521339054801</v>
      </c>
      <c r="N8" s="13">
        <v>2.1895699800145501</v>
      </c>
      <c r="O8" s="13">
        <v>2.2079136110252899</v>
      </c>
      <c r="P8" s="13">
        <v>2.22788120701059</v>
      </c>
      <c r="Q8" s="13">
        <v>2.2459724770552998</v>
      </c>
      <c r="R8" s="13">
        <v>2.2732174952512398</v>
      </c>
      <c r="S8" s="13">
        <v>2.2978763341263799</v>
      </c>
      <c r="T8" s="13">
        <v>2.3349096781978398</v>
      </c>
      <c r="U8" s="13">
        <v>2.3734038596485099</v>
      </c>
      <c r="V8" s="13">
        <v>2.3214065405194502</v>
      </c>
      <c r="W8" s="13">
        <v>2.30398378778303</v>
      </c>
      <c r="X8" s="13">
        <v>2.3147083800778501</v>
      </c>
      <c r="Y8" s="13">
        <v>2.33384264563343</v>
      </c>
      <c r="Z8" s="13">
        <v>2.3520478742720301</v>
      </c>
      <c r="AA8" s="13">
        <v>2.35710662986398</v>
      </c>
      <c r="AB8" s="13">
        <v>2.3597617242881999</v>
      </c>
      <c r="AC8" s="13">
        <v>2.3675152110919599</v>
      </c>
      <c r="AD8" s="13">
        <v>2.3894355869441899</v>
      </c>
      <c r="AE8" s="13">
        <v>2.40815819227547</v>
      </c>
      <c r="AF8" s="13">
        <v>2.44430890044428</v>
      </c>
      <c r="AG8" s="13">
        <v>2.4604257745065699</v>
      </c>
      <c r="AH8" s="13">
        <v>2.4673861530990902</v>
      </c>
      <c r="AI8" s="13">
        <v>2.48042073711553</v>
      </c>
      <c r="AJ8" s="13">
        <v>2.4867997015171999</v>
      </c>
      <c r="AK8" s="13">
        <v>2.4979963270933299</v>
      </c>
      <c r="AL8" s="13">
        <v>2.5174928668501901</v>
      </c>
      <c r="AM8" s="13">
        <v>2.52334068619753</v>
      </c>
      <c r="AN8" s="13">
        <v>2.5236312406637</v>
      </c>
      <c r="AO8" s="13">
        <v>2.53852614076715</v>
      </c>
      <c r="AP8" s="13">
        <v>2.5493471020021499</v>
      </c>
      <c r="AQ8" s="13">
        <v>2.5641196272997999</v>
      </c>
      <c r="AR8" s="13">
        <v>2.5682533521263</v>
      </c>
      <c r="AS8" s="13">
        <v>2.5745604439045402</v>
      </c>
      <c r="AT8" s="13">
        <v>2.5703855371384798</v>
      </c>
      <c r="AU8" s="13">
        <v>2.5621096470938398</v>
      </c>
      <c r="AV8" s="13">
        <v>2.57383315818505</v>
      </c>
      <c r="AW8" s="13">
        <v>2.5763813062717098</v>
      </c>
      <c r="AX8" s="13">
        <v>2.5767536568672198</v>
      </c>
      <c r="AY8" s="13">
        <v>2.5717145141704401</v>
      </c>
      <c r="AZ8" s="13">
        <v>2.5921806314594802</v>
      </c>
      <c r="BA8" s="13">
        <v>2.6069809626114901</v>
      </c>
      <c r="BB8" s="13">
        <v>2.6253970020753399</v>
      </c>
      <c r="BC8" s="13">
        <v>2.64311388125578</v>
      </c>
      <c r="BD8" s="13">
        <v>2.64546660406153</v>
      </c>
      <c r="BE8" s="13">
        <v>2.6516461802012401</v>
      </c>
      <c r="BF8" s="13">
        <v>2.6731214386986899</v>
      </c>
      <c r="BG8" s="13">
        <v>2.6992395466316998</v>
      </c>
      <c r="BH8" s="13">
        <v>2.7183438993189601</v>
      </c>
      <c r="BI8" s="13">
        <v>2.7305561512385701</v>
      </c>
      <c r="BJ8" s="13">
        <v>2.74253282416533</v>
      </c>
      <c r="BK8" s="13">
        <v>2.7480564459173999</v>
      </c>
      <c r="BL8" s="13">
        <v>2.7688782846120299</v>
      </c>
      <c r="BM8" s="13">
        <v>2.7849600301573001</v>
      </c>
      <c r="BN8" s="13">
        <v>2.7960315775651199</v>
      </c>
      <c r="BO8" s="13">
        <v>2.8046313693112501</v>
      </c>
      <c r="BP8" s="13">
        <v>2.7904564390836502</v>
      </c>
      <c r="BQ8" s="13">
        <v>2.8032012428447599</v>
      </c>
      <c r="BR8" s="13">
        <v>2.8160110728518499</v>
      </c>
      <c r="BS8" s="13">
        <v>2.8427513358899001</v>
      </c>
      <c r="BT8" s="13">
        <v>2.8785483334867901</v>
      </c>
      <c r="BU8" s="13">
        <v>2.9207292897956099</v>
      </c>
      <c r="BV8" s="13">
        <v>2.9773693852936902</v>
      </c>
      <c r="BW8" s="13">
        <v>3.0336330216182201</v>
      </c>
      <c r="BX8" s="13">
        <v>3.0947841762379902</v>
      </c>
      <c r="BY8" s="13">
        <v>3.1308382651775801</v>
      </c>
      <c r="BZ8" s="13">
        <v>3.1647578482205798</v>
      </c>
      <c r="CA8" s="13">
        <v>3.1699728449320399</v>
      </c>
      <c r="CB8" s="13">
        <v>3.1726433528765199</v>
      </c>
      <c r="CC8" s="13">
        <v>3.1988751075198198</v>
      </c>
      <c r="CD8" s="13">
        <v>3.22193842078046</v>
      </c>
      <c r="CE8" s="13">
        <v>3.2482217134576001</v>
      </c>
      <c r="CF8" s="13">
        <v>3.2956347050253401</v>
      </c>
      <c r="CG8" s="13">
        <v>3.3068651934414</v>
      </c>
      <c r="CH8" s="13">
        <v>3.3215129166372299</v>
      </c>
      <c r="CI8" s="13">
        <v>3.33644348125376</v>
      </c>
      <c r="CJ8" s="13">
        <v>3.3572212983318299</v>
      </c>
      <c r="CK8" s="13">
        <v>3.3807002427985302</v>
      </c>
      <c r="CL8" s="13">
        <v>3.4059969087009301</v>
      </c>
      <c r="CM8" s="13">
        <v>3.4377337181428</v>
      </c>
      <c r="CN8" s="13">
        <v>3.4574970892838501</v>
      </c>
      <c r="CO8" s="13">
        <v>3.4821949067167401</v>
      </c>
      <c r="CP8" s="13">
        <v>3.5031566001205299</v>
      </c>
      <c r="CQ8" s="13">
        <v>3.52270272713641</v>
      </c>
      <c r="CR8" s="13">
        <v>3.5419955790195701</v>
      </c>
      <c r="CS8" s="13">
        <v>3.5559381202671498</v>
      </c>
      <c r="CT8" s="13">
        <v>3.57575112832704</v>
      </c>
      <c r="CU8" s="13">
        <v>3.5964338270398999</v>
      </c>
      <c r="CV8" s="13">
        <v>3.61801770409354</v>
      </c>
      <c r="CW8" s="13">
        <v>3.6408977322046501</v>
      </c>
      <c r="CX8" s="13">
        <v>3.6618400116250398</v>
      </c>
      <c r="CY8" s="13">
        <v>3.6802375110753398</v>
      </c>
      <c r="CZ8" s="13">
        <v>3.7008477513768301</v>
      </c>
      <c r="DA8" s="13">
        <v>3.7223543645572499</v>
      </c>
      <c r="DB8" s="13">
        <v>3.7436102533270601</v>
      </c>
      <c r="DC8" s="13">
        <v>3.7639621402043901</v>
      </c>
      <c r="DD8" s="13">
        <v>3.7858589715223401</v>
      </c>
      <c r="DE8" s="13">
        <v>3.8072431216507701</v>
      </c>
      <c r="DF8" s="13">
        <v>3.82745157800891</v>
      </c>
    </row>
    <row r="9" spans="1:110">
      <c r="A9" s="6" t="s">
        <v>111</v>
      </c>
      <c r="B9" s="6" t="s">
        <v>112</v>
      </c>
      <c r="C9" s="13">
        <v>2.0063967944573302</v>
      </c>
      <c r="D9" s="13">
        <v>2.0292109297185799</v>
      </c>
      <c r="E9" s="13">
        <v>2.0375058295190498</v>
      </c>
      <c r="F9" s="13">
        <v>2.06056286491336</v>
      </c>
      <c r="G9" s="13">
        <v>2.0745428604526199</v>
      </c>
      <c r="H9" s="13">
        <v>2.0848413941935999</v>
      </c>
      <c r="I9" s="13">
        <v>2.1205826507328598</v>
      </c>
      <c r="J9" s="13">
        <v>2.1424708889297399</v>
      </c>
      <c r="K9" s="13">
        <v>2.1577842143700501</v>
      </c>
      <c r="L9" s="13">
        <v>2.1833771506398501</v>
      </c>
      <c r="M9" s="13">
        <v>2.2041521339054801</v>
      </c>
      <c r="N9" s="13">
        <v>2.1895699800145501</v>
      </c>
      <c r="O9" s="13">
        <v>2.2079136110252899</v>
      </c>
      <c r="P9" s="13">
        <v>2.22788120701059</v>
      </c>
      <c r="Q9" s="13">
        <v>2.2459724770552998</v>
      </c>
      <c r="R9" s="13">
        <v>2.2732174952512398</v>
      </c>
      <c r="S9" s="13">
        <v>2.2978763341263799</v>
      </c>
      <c r="T9" s="13">
        <v>2.3349096781978398</v>
      </c>
      <c r="U9" s="13">
        <v>2.3734038596485099</v>
      </c>
      <c r="V9" s="13">
        <v>2.3214065405194502</v>
      </c>
      <c r="W9" s="13">
        <v>2.30398378778303</v>
      </c>
      <c r="X9" s="13">
        <v>2.3147083800778501</v>
      </c>
      <c r="Y9" s="13">
        <v>2.33384264563343</v>
      </c>
      <c r="Z9" s="13">
        <v>2.3520478742720301</v>
      </c>
      <c r="AA9" s="13">
        <v>2.35710662986398</v>
      </c>
      <c r="AB9" s="13">
        <v>2.3597617242881999</v>
      </c>
      <c r="AC9" s="13">
        <v>2.3675152110919599</v>
      </c>
      <c r="AD9" s="13">
        <v>2.3894355869441899</v>
      </c>
      <c r="AE9" s="13">
        <v>2.40815819227547</v>
      </c>
      <c r="AF9" s="13">
        <v>2.44430890044428</v>
      </c>
      <c r="AG9" s="13">
        <v>2.4604257745065699</v>
      </c>
      <c r="AH9" s="13">
        <v>2.4673861530990902</v>
      </c>
      <c r="AI9" s="13">
        <v>2.48042073711553</v>
      </c>
      <c r="AJ9" s="13">
        <v>2.4867997015171999</v>
      </c>
      <c r="AK9" s="13">
        <v>2.4979963270933299</v>
      </c>
      <c r="AL9" s="13">
        <v>2.5174928668501901</v>
      </c>
      <c r="AM9" s="13">
        <v>2.52334068619753</v>
      </c>
      <c r="AN9" s="13">
        <v>2.5236312406637</v>
      </c>
      <c r="AO9" s="13">
        <v>2.53852614076715</v>
      </c>
      <c r="AP9" s="13">
        <v>2.5493471020021499</v>
      </c>
      <c r="AQ9" s="13">
        <v>2.5641196272997999</v>
      </c>
      <c r="AR9" s="13">
        <v>2.5682533521263</v>
      </c>
      <c r="AS9" s="13">
        <v>2.5745604439045402</v>
      </c>
      <c r="AT9" s="13">
        <v>2.5703855371384798</v>
      </c>
      <c r="AU9" s="13">
        <v>2.5621096470938398</v>
      </c>
      <c r="AV9" s="13">
        <v>2.57383315818505</v>
      </c>
      <c r="AW9" s="13">
        <v>2.5763813062717098</v>
      </c>
      <c r="AX9" s="13">
        <v>2.5767536568672198</v>
      </c>
      <c r="AY9" s="13">
        <v>2.5717145141704401</v>
      </c>
      <c r="AZ9" s="13">
        <v>2.5921806314594802</v>
      </c>
      <c r="BA9" s="13">
        <v>2.6069809626114901</v>
      </c>
      <c r="BB9" s="13">
        <v>2.6253970020753399</v>
      </c>
      <c r="BC9" s="13">
        <v>2.64311388125578</v>
      </c>
      <c r="BD9" s="13">
        <v>2.64546660406153</v>
      </c>
      <c r="BE9" s="13">
        <v>2.6516461802012401</v>
      </c>
      <c r="BF9" s="13">
        <v>2.6731214386986899</v>
      </c>
      <c r="BG9" s="13">
        <v>2.6992395466316998</v>
      </c>
      <c r="BH9" s="13">
        <v>2.7183438993189601</v>
      </c>
      <c r="BI9" s="13">
        <v>2.7305561512385701</v>
      </c>
      <c r="BJ9" s="13">
        <v>2.74253282416533</v>
      </c>
      <c r="BK9" s="13">
        <v>2.7480564459173999</v>
      </c>
      <c r="BL9" s="13">
        <v>2.7688782846120299</v>
      </c>
      <c r="BM9" s="13">
        <v>2.7849600301573001</v>
      </c>
      <c r="BN9" s="13">
        <v>2.7960315775651199</v>
      </c>
      <c r="BO9" s="13">
        <v>2.8046313693112501</v>
      </c>
      <c r="BP9" s="13">
        <v>2.7904564390836502</v>
      </c>
      <c r="BQ9" s="13">
        <v>2.8032012428447599</v>
      </c>
      <c r="BR9" s="13">
        <v>2.8160110728518499</v>
      </c>
      <c r="BS9" s="13">
        <v>2.8427513358899001</v>
      </c>
      <c r="BT9" s="13">
        <v>2.8785483334867901</v>
      </c>
      <c r="BU9" s="13">
        <v>2.9207292897956099</v>
      </c>
      <c r="BV9" s="13">
        <v>2.9773693852936902</v>
      </c>
      <c r="BW9" s="13">
        <v>3.0336330216182201</v>
      </c>
      <c r="BX9" s="13">
        <v>3.0947841762379902</v>
      </c>
      <c r="BY9" s="13">
        <v>3.1308382651775801</v>
      </c>
      <c r="BZ9" s="13">
        <v>3.1647578482205798</v>
      </c>
      <c r="CA9" s="13">
        <v>3.1699728449320399</v>
      </c>
      <c r="CB9" s="13">
        <v>3.1726433528765199</v>
      </c>
      <c r="CC9" s="13">
        <v>3.1988751075198198</v>
      </c>
      <c r="CD9" s="13">
        <v>3.22193842078046</v>
      </c>
      <c r="CE9" s="13">
        <v>3.2482217134576001</v>
      </c>
      <c r="CF9" s="13">
        <v>3.2956347050253401</v>
      </c>
      <c r="CG9" s="13">
        <v>3.2956818187049399</v>
      </c>
      <c r="CH9" s="13">
        <v>3.30792205959977</v>
      </c>
      <c r="CI9" s="13">
        <v>3.3215284214171801</v>
      </c>
      <c r="CJ9" s="13">
        <v>3.3405839801810502</v>
      </c>
      <c r="CK9" s="13">
        <v>3.3614239742545502</v>
      </c>
      <c r="CL9" s="13">
        <v>3.38426406518745</v>
      </c>
      <c r="CM9" s="13">
        <v>3.4138940790776999</v>
      </c>
      <c r="CN9" s="13">
        <v>3.4314671893760398</v>
      </c>
      <c r="CO9" s="13">
        <v>3.4539470339367302</v>
      </c>
      <c r="CP9" s="13">
        <v>3.47269459852044</v>
      </c>
      <c r="CQ9" s="13">
        <v>3.49005249564626</v>
      </c>
      <c r="CR9" s="13">
        <v>3.5070492246636702</v>
      </c>
      <c r="CS9" s="13">
        <v>3.5187919040562301</v>
      </c>
      <c r="CT9" s="13">
        <v>3.53647849692035</v>
      </c>
      <c r="CU9" s="13">
        <v>3.5550620795049301</v>
      </c>
      <c r="CV9" s="13">
        <v>3.5745297767497299</v>
      </c>
      <c r="CW9" s="13">
        <v>3.5952897092899598</v>
      </c>
      <c r="CX9" s="13">
        <v>3.6139753890265802</v>
      </c>
      <c r="CY9" s="13">
        <v>3.6302782464144498</v>
      </c>
      <c r="CZ9" s="13">
        <v>3.6485793510484301</v>
      </c>
      <c r="DA9" s="13">
        <v>3.6675896522072202</v>
      </c>
      <c r="DB9" s="13">
        <v>3.6861868903925301</v>
      </c>
      <c r="DC9" s="13">
        <v>3.7039124585854499</v>
      </c>
      <c r="DD9" s="13">
        <v>3.72290689668923</v>
      </c>
      <c r="DE9" s="13">
        <v>3.7412610936331001</v>
      </c>
      <c r="DF9" s="13">
        <v>3.7582877239941199</v>
      </c>
    </row>
    <row r="10" spans="1:110">
      <c r="A10" s="6" t="s">
        <v>113</v>
      </c>
      <c r="B10" s="6" t="s">
        <v>114</v>
      </c>
      <c r="C10" s="13">
        <v>2.0063967944573302</v>
      </c>
      <c r="D10" s="13">
        <v>2.0292109297185799</v>
      </c>
      <c r="E10" s="13">
        <v>2.0375058295190498</v>
      </c>
      <c r="F10" s="13">
        <v>2.06056286491336</v>
      </c>
      <c r="G10" s="13">
        <v>2.0745428604526199</v>
      </c>
      <c r="H10" s="13">
        <v>2.0848413941935999</v>
      </c>
      <c r="I10" s="13">
        <v>2.1205826507328598</v>
      </c>
      <c r="J10" s="13">
        <v>2.1424708889297399</v>
      </c>
      <c r="K10" s="13">
        <v>2.1577842143700501</v>
      </c>
      <c r="L10" s="13">
        <v>2.1833771506398501</v>
      </c>
      <c r="M10" s="13">
        <v>2.2041521339054801</v>
      </c>
      <c r="N10" s="13">
        <v>2.1895699800145501</v>
      </c>
      <c r="O10" s="13">
        <v>2.2079136110252899</v>
      </c>
      <c r="P10" s="13">
        <v>2.22788120701059</v>
      </c>
      <c r="Q10" s="13">
        <v>2.2459724770552998</v>
      </c>
      <c r="R10" s="13">
        <v>2.2732174952512398</v>
      </c>
      <c r="S10" s="13">
        <v>2.2978763341263799</v>
      </c>
      <c r="T10" s="13">
        <v>2.3349096781978398</v>
      </c>
      <c r="U10" s="13">
        <v>2.3734038596485099</v>
      </c>
      <c r="V10" s="13">
        <v>2.3214065405194502</v>
      </c>
      <c r="W10" s="13">
        <v>2.30398378778303</v>
      </c>
      <c r="X10" s="13">
        <v>2.3147083800778501</v>
      </c>
      <c r="Y10" s="13">
        <v>2.33384264563343</v>
      </c>
      <c r="Z10" s="13">
        <v>2.3520478742720301</v>
      </c>
      <c r="AA10" s="13">
        <v>2.35710662986398</v>
      </c>
      <c r="AB10" s="13">
        <v>2.3597617242881999</v>
      </c>
      <c r="AC10" s="13">
        <v>2.3675152110919599</v>
      </c>
      <c r="AD10" s="13">
        <v>2.3894355869441899</v>
      </c>
      <c r="AE10" s="13">
        <v>2.40815819227547</v>
      </c>
      <c r="AF10" s="13">
        <v>2.44430890044428</v>
      </c>
      <c r="AG10" s="13">
        <v>2.4604257745065699</v>
      </c>
      <c r="AH10" s="13">
        <v>2.4673861530990902</v>
      </c>
      <c r="AI10" s="13">
        <v>2.48042073711553</v>
      </c>
      <c r="AJ10" s="13">
        <v>2.4867997015171999</v>
      </c>
      <c r="AK10" s="13">
        <v>2.4979963270933299</v>
      </c>
      <c r="AL10" s="13">
        <v>2.5174928668501901</v>
      </c>
      <c r="AM10" s="13">
        <v>2.52334068619753</v>
      </c>
      <c r="AN10" s="13">
        <v>2.5236312406637</v>
      </c>
      <c r="AO10" s="13">
        <v>2.53852614076715</v>
      </c>
      <c r="AP10" s="13">
        <v>2.5493471020021499</v>
      </c>
      <c r="AQ10" s="13">
        <v>2.5641196272997999</v>
      </c>
      <c r="AR10" s="13">
        <v>2.5682533521263</v>
      </c>
      <c r="AS10" s="13">
        <v>2.5745604439045402</v>
      </c>
      <c r="AT10" s="13">
        <v>2.5703855371384798</v>
      </c>
      <c r="AU10" s="13">
        <v>2.5621096470938398</v>
      </c>
      <c r="AV10" s="13">
        <v>2.57383315818505</v>
      </c>
      <c r="AW10" s="13">
        <v>2.5763813062717098</v>
      </c>
      <c r="AX10" s="13">
        <v>2.5767536568672198</v>
      </c>
      <c r="AY10" s="13">
        <v>2.5717145141704401</v>
      </c>
      <c r="AZ10" s="13">
        <v>2.5921806314594802</v>
      </c>
      <c r="BA10" s="13">
        <v>2.6069809626114901</v>
      </c>
      <c r="BB10" s="13">
        <v>2.6253970020753399</v>
      </c>
      <c r="BC10" s="13">
        <v>2.64311388125578</v>
      </c>
      <c r="BD10" s="13">
        <v>2.64546660406153</v>
      </c>
      <c r="BE10" s="13">
        <v>2.6516461802012401</v>
      </c>
      <c r="BF10" s="13">
        <v>2.6731214386986899</v>
      </c>
      <c r="BG10" s="13">
        <v>2.6992395466316998</v>
      </c>
      <c r="BH10" s="13">
        <v>2.7183438993189601</v>
      </c>
      <c r="BI10" s="13">
        <v>2.7305561512385701</v>
      </c>
      <c r="BJ10" s="13">
        <v>2.74253282416533</v>
      </c>
      <c r="BK10" s="13">
        <v>2.7480564459173999</v>
      </c>
      <c r="BL10" s="13">
        <v>2.7688782846120299</v>
      </c>
      <c r="BM10" s="13">
        <v>2.7849600301573001</v>
      </c>
      <c r="BN10" s="13">
        <v>2.7960315775651199</v>
      </c>
      <c r="BO10" s="13">
        <v>2.8046313693112501</v>
      </c>
      <c r="BP10" s="13">
        <v>2.7904564390836502</v>
      </c>
      <c r="BQ10" s="13">
        <v>2.8032012428447599</v>
      </c>
      <c r="BR10" s="13">
        <v>2.8160110728518499</v>
      </c>
      <c r="BS10" s="13">
        <v>2.8427513358899001</v>
      </c>
      <c r="BT10" s="13">
        <v>2.8785483334867901</v>
      </c>
      <c r="BU10" s="13">
        <v>2.9207292897956099</v>
      </c>
      <c r="BV10" s="13">
        <v>2.9773693852936902</v>
      </c>
      <c r="BW10" s="13">
        <v>3.0336330216182201</v>
      </c>
      <c r="BX10" s="13">
        <v>3.0947841762379902</v>
      </c>
      <c r="BY10" s="13">
        <v>3.1308382651775801</v>
      </c>
      <c r="BZ10" s="13">
        <v>3.1647578482205798</v>
      </c>
      <c r="CA10" s="13">
        <v>3.1699728449320399</v>
      </c>
      <c r="CB10" s="13">
        <v>3.1726433528765199</v>
      </c>
      <c r="CC10" s="13">
        <v>3.1988751075198198</v>
      </c>
      <c r="CD10" s="13">
        <v>3.22193842078046</v>
      </c>
      <c r="CE10" s="13">
        <v>3.2482217134576001</v>
      </c>
      <c r="CF10" s="13">
        <v>3.2956347050253401</v>
      </c>
      <c r="CG10" s="13">
        <v>3.3328946110561599</v>
      </c>
      <c r="CH10" s="13">
        <v>3.36074834534553</v>
      </c>
      <c r="CI10" s="13">
        <v>3.3902946752043399</v>
      </c>
      <c r="CJ10" s="13">
        <v>3.42312033100974</v>
      </c>
      <c r="CK10" s="13">
        <v>3.4590872492515499</v>
      </c>
      <c r="CL10" s="13">
        <v>3.4964583573124401</v>
      </c>
      <c r="CM10" s="13">
        <v>3.5398838730279301</v>
      </c>
      <c r="CN10" s="13">
        <v>3.5709423409877301</v>
      </c>
      <c r="CO10" s="13">
        <v>3.6075949532460601</v>
      </c>
      <c r="CP10" s="13">
        <v>3.6406746430719101</v>
      </c>
      <c r="CQ10" s="13">
        <v>3.6727184178307102</v>
      </c>
      <c r="CR10" s="13">
        <v>3.7047416963224702</v>
      </c>
      <c r="CS10" s="13">
        <v>3.7304473216979699</v>
      </c>
      <c r="CT10" s="13">
        <v>3.7624186037224798</v>
      </c>
      <c r="CU10" s="13">
        <v>3.79605055530654</v>
      </c>
      <c r="CV10" s="13">
        <v>3.8308948946381198</v>
      </c>
      <c r="CW10" s="13">
        <v>3.8673947300953402</v>
      </c>
      <c r="CX10" s="13">
        <v>3.9020162285803601</v>
      </c>
      <c r="CY10" s="13">
        <v>3.9341456558961099</v>
      </c>
      <c r="CZ10" s="13">
        <v>3.9683381696998699</v>
      </c>
      <c r="DA10" s="13">
        <v>4.0035641613789599</v>
      </c>
      <c r="DB10" s="13">
        <v>4.0386906917721097</v>
      </c>
      <c r="DC10" s="13">
        <v>4.0732428615725098</v>
      </c>
      <c r="DD10" s="13">
        <v>4.1093506579633496</v>
      </c>
      <c r="DE10" s="13">
        <v>4.1449735418232203</v>
      </c>
      <c r="DF10" s="13">
        <v>4.1796036208680798</v>
      </c>
    </row>
    <row r="12" spans="1:110">
      <c r="CE12" s="594" t="s">
        <v>115</v>
      </c>
      <c r="CF12" s="595"/>
      <c r="CG12" s="595"/>
      <c r="CH12" s="596" t="s">
        <v>424</v>
      </c>
      <c r="CI12" s="597"/>
      <c r="CJ12" s="597"/>
      <c r="CK12" s="597"/>
      <c r="CL12" s="597"/>
      <c r="CM12" s="597"/>
      <c r="CN12" s="595"/>
      <c r="CO12" s="595"/>
      <c r="CP12" s="595"/>
    </row>
    <row r="13" spans="1:110">
      <c r="CE13" s="598"/>
      <c r="CF13" s="599"/>
      <c r="CG13" s="599"/>
      <c r="CH13" s="599"/>
      <c r="CI13" s="599"/>
      <c r="CJ13" s="599"/>
      <c r="CK13" s="599"/>
      <c r="CL13" s="599"/>
      <c r="CM13" s="599"/>
      <c r="CN13" s="599"/>
      <c r="CO13" s="599"/>
      <c r="CP13" s="600"/>
    </row>
    <row r="14" spans="1:110">
      <c r="CE14" s="601"/>
      <c r="CF14" s="602" t="s">
        <v>117</v>
      </c>
      <c r="CG14" s="603" t="s">
        <v>98</v>
      </c>
      <c r="CH14" s="595"/>
      <c r="CI14" s="595"/>
      <c r="CJ14" s="595"/>
      <c r="CK14" s="595"/>
      <c r="CL14" s="595"/>
      <c r="CM14" s="595"/>
      <c r="CN14" s="595"/>
      <c r="CO14" s="595"/>
      <c r="CP14" s="604"/>
    </row>
    <row r="15" spans="1:110">
      <c r="CE15" s="601"/>
      <c r="CF15" s="595"/>
      <c r="CG15" s="605" t="s">
        <v>425</v>
      </c>
      <c r="CH15" s="595"/>
      <c r="CI15" s="595"/>
      <c r="CJ15" s="595"/>
      <c r="CK15" s="595"/>
      <c r="CL15" s="595"/>
      <c r="CM15" s="595"/>
      <c r="CN15" s="595"/>
      <c r="CO15" s="595"/>
      <c r="CP15" s="606" t="s">
        <v>119</v>
      </c>
    </row>
    <row r="16" spans="1:110">
      <c r="CC16" s="1" t="s">
        <v>426</v>
      </c>
      <c r="CE16" s="601"/>
      <c r="CF16" s="595"/>
      <c r="CG16" s="607">
        <f>CJ9</f>
        <v>3.3405839801810502</v>
      </c>
      <c r="CH16" s="608"/>
      <c r="CI16" s="595"/>
      <c r="CJ16" s="595"/>
      <c r="CK16" s="595"/>
      <c r="CL16" s="595"/>
      <c r="CM16" s="595"/>
      <c r="CN16" s="595"/>
      <c r="CO16" s="595"/>
      <c r="CP16" s="609">
        <f>CG16</f>
        <v>3.3405839801810502</v>
      </c>
    </row>
    <row r="17" spans="81:94">
      <c r="CE17" s="601"/>
      <c r="CF17" s="595"/>
      <c r="CG17" s="595"/>
      <c r="CH17" s="595"/>
      <c r="CI17" s="595"/>
      <c r="CJ17" s="595"/>
      <c r="CK17" s="595"/>
      <c r="CL17" s="595"/>
      <c r="CM17" s="595"/>
      <c r="CN17" s="595"/>
      <c r="CO17" s="595"/>
      <c r="CP17" s="609"/>
    </row>
    <row r="18" spans="81:94">
      <c r="CE18" s="763" t="s">
        <v>120</v>
      </c>
      <c r="CF18" s="764"/>
      <c r="CG18" s="764"/>
      <c r="CH18" s="595" t="s">
        <v>427</v>
      </c>
      <c r="CI18" s="595"/>
      <c r="CJ18" s="595"/>
      <c r="CK18" s="595"/>
      <c r="CL18" s="595"/>
      <c r="CM18" s="595"/>
      <c r="CN18" s="595"/>
      <c r="CO18" s="595"/>
      <c r="CP18" s="609"/>
    </row>
    <row r="19" spans="81:94">
      <c r="CE19" s="610"/>
      <c r="CF19" s="602"/>
      <c r="CG19" s="611" t="str">
        <f>CK7</f>
        <v>2025Q3</v>
      </c>
      <c r="CH19" s="611" t="str">
        <f t="shared" ref="CH19:CN19" si="0">CL7</f>
        <v>2025Q4</v>
      </c>
      <c r="CI19" s="611" t="str">
        <f t="shared" si="0"/>
        <v>2026Q1</v>
      </c>
      <c r="CJ19" s="611" t="str">
        <f t="shared" si="0"/>
        <v>2026Q2</v>
      </c>
      <c r="CK19" s="611" t="str">
        <f t="shared" si="0"/>
        <v>2026Q3</v>
      </c>
      <c r="CL19" s="611" t="str">
        <f t="shared" si="0"/>
        <v>2026Q4</v>
      </c>
      <c r="CM19" s="611" t="str">
        <f t="shared" si="0"/>
        <v>2027Q1</v>
      </c>
      <c r="CN19" s="611" t="str">
        <f t="shared" si="0"/>
        <v>2027Q2</v>
      </c>
      <c r="CO19" s="595"/>
      <c r="CP19" s="609"/>
    </row>
    <row r="20" spans="81:94">
      <c r="CE20" s="601"/>
      <c r="CF20" s="595"/>
      <c r="CG20" s="612" t="s">
        <v>404</v>
      </c>
      <c r="CH20" s="612" t="s">
        <v>405</v>
      </c>
      <c r="CI20" s="612" t="s">
        <v>406</v>
      </c>
      <c r="CJ20" s="612" t="s">
        <v>407</v>
      </c>
      <c r="CK20" s="613" t="s">
        <v>408</v>
      </c>
      <c r="CL20" s="613" t="s">
        <v>409</v>
      </c>
      <c r="CM20" s="613" t="s">
        <v>410</v>
      </c>
      <c r="CN20" s="613" t="s">
        <v>411</v>
      </c>
      <c r="CO20" s="595"/>
      <c r="CP20" s="609"/>
    </row>
    <row r="21" spans="81:94">
      <c r="CE21" s="601"/>
      <c r="CF21" s="595"/>
      <c r="CG21" s="614">
        <f>CK9</f>
        <v>3.3614239742545502</v>
      </c>
      <c r="CH21" s="614">
        <f t="shared" ref="CH21:CN21" si="1">CL9</f>
        <v>3.38426406518745</v>
      </c>
      <c r="CI21" s="614">
        <f t="shared" si="1"/>
        <v>3.4138940790776999</v>
      </c>
      <c r="CJ21" s="614">
        <f t="shared" si="1"/>
        <v>3.4314671893760398</v>
      </c>
      <c r="CK21" s="614">
        <f t="shared" si="1"/>
        <v>3.4539470339367302</v>
      </c>
      <c r="CL21" s="614">
        <f t="shared" si="1"/>
        <v>3.47269459852044</v>
      </c>
      <c r="CM21" s="614">
        <f t="shared" si="1"/>
        <v>3.49005249564626</v>
      </c>
      <c r="CN21" s="614">
        <f t="shared" si="1"/>
        <v>3.5070492246636702</v>
      </c>
      <c r="CO21" s="595"/>
      <c r="CP21" s="609">
        <f>AVERAGE(CG21:CN21)</f>
        <v>3.4393490825828557</v>
      </c>
    </row>
    <row r="22" spans="81:94">
      <c r="CE22" s="601"/>
      <c r="CF22" s="595"/>
      <c r="CG22" s="595"/>
      <c r="CH22" s="595"/>
      <c r="CI22" s="595"/>
      <c r="CJ22" s="595"/>
      <c r="CK22" s="595"/>
      <c r="CL22" s="595"/>
      <c r="CM22" s="595"/>
      <c r="CN22" s="595"/>
      <c r="CO22" s="595"/>
      <c r="CP22" s="615"/>
    </row>
    <row r="23" spans="81:94">
      <c r="CE23" s="601"/>
      <c r="CF23" s="595"/>
      <c r="CG23" s="595"/>
      <c r="CH23" s="595"/>
      <c r="CI23" s="595"/>
      <c r="CJ23" s="595"/>
      <c r="CK23" s="595"/>
      <c r="CL23" s="595"/>
      <c r="CM23" s="595"/>
      <c r="CN23" s="595"/>
      <c r="CO23" s="616" t="s">
        <v>122</v>
      </c>
      <c r="CP23" s="617">
        <f>(CP21-CP16)/CP16</f>
        <v>2.9565220628416197E-2</v>
      </c>
    </row>
    <row r="24" spans="81:94">
      <c r="CE24" s="618"/>
      <c r="CF24" s="619"/>
      <c r="CG24" s="619"/>
      <c r="CH24" s="619"/>
      <c r="CI24" s="619"/>
      <c r="CJ24" s="619"/>
      <c r="CK24" s="619"/>
      <c r="CL24" s="619"/>
      <c r="CM24" s="619"/>
      <c r="CN24" s="619"/>
      <c r="CO24" s="619"/>
      <c r="CP24" s="620"/>
    </row>
    <row r="27" spans="81:94">
      <c r="CE27" s="594" t="s">
        <v>115</v>
      </c>
      <c r="CF27" s="595"/>
      <c r="CG27" s="595"/>
      <c r="CH27" s="596" t="s">
        <v>424</v>
      </c>
      <c r="CI27" s="597"/>
      <c r="CJ27" s="597"/>
      <c r="CK27" s="597"/>
      <c r="CL27" s="597"/>
      <c r="CM27" s="597"/>
      <c r="CN27" s="595"/>
      <c r="CO27" s="595"/>
      <c r="CP27" s="595"/>
    </row>
    <row r="28" spans="81:94">
      <c r="CE28" s="598"/>
      <c r="CF28" s="599"/>
      <c r="CG28" s="599"/>
      <c r="CH28" s="599"/>
      <c r="CI28" s="599"/>
      <c r="CJ28" s="599"/>
      <c r="CK28" s="599"/>
      <c r="CL28" s="599"/>
      <c r="CM28" s="599"/>
      <c r="CN28" s="599"/>
      <c r="CO28" s="599"/>
      <c r="CP28" s="600"/>
    </row>
    <row r="29" spans="81:94">
      <c r="CE29" s="601"/>
      <c r="CF29" s="602" t="s">
        <v>117</v>
      </c>
      <c r="CG29" s="603" t="s">
        <v>98</v>
      </c>
      <c r="CH29" s="595"/>
      <c r="CI29" s="595"/>
      <c r="CJ29" s="595"/>
      <c r="CK29" s="595"/>
      <c r="CL29" s="595"/>
      <c r="CM29" s="595"/>
      <c r="CN29" s="595"/>
      <c r="CO29" s="595"/>
      <c r="CP29" s="604"/>
    </row>
    <row r="30" spans="81:94">
      <c r="CE30" s="601"/>
      <c r="CF30" s="595"/>
      <c r="CG30" s="605" t="s">
        <v>425</v>
      </c>
      <c r="CH30" s="595"/>
      <c r="CI30" s="595"/>
      <c r="CJ30" s="595"/>
      <c r="CK30" s="595"/>
      <c r="CL30" s="595"/>
      <c r="CM30" s="595"/>
      <c r="CN30" s="595"/>
      <c r="CO30" s="595"/>
      <c r="CP30" s="606" t="s">
        <v>119</v>
      </c>
    </row>
    <row r="31" spans="81:94">
      <c r="CC31" s="1" t="s">
        <v>428</v>
      </c>
      <c r="CE31" s="601"/>
      <c r="CF31" s="595"/>
      <c r="CG31" s="607">
        <f>CJ8</f>
        <v>3.3572212983318299</v>
      </c>
      <c r="CH31" s="608"/>
      <c r="CI31" s="595"/>
      <c r="CJ31" s="595"/>
      <c r="CK31" s="595"/>
      <c r="CL31" s="595"/>
      <c r="CM31" s="595"/>
      <c r="CN31" s="595"/>
      <c r="CO31" s="595"/>
      <c r="CP31" s="609">
        <f>CG31</f>
        <v>3.3572212983318299</v>
      </c>
    </row>
    <row r="32" spans="81:94">
      <c r="CE32" s="601"/>
      <c r="CF32" s="595"/>
      <c r="CG32" s="595"/>
      <c r="CH32" s="595"/>
      <c r="CI32" s="595"/>
      <c r="CJ32" s="595"/>
      <c r="CK32" s="595"/>
      <c r="CL32" s="595"/>
      <c r="CM32" s="595"/>
      <c r="CN32" s="595"/>
      <c r="CO32" s="595"/>
      <c r="CP32" s="609"/>
    </row>
    <row r="33" spans="83:94">
      <c r="CE33" s="763" t="s">
        <v>120</v>
      </c>
      <c r="CF33" s="764"/>
      <c r="CG33" s="764"/>
      <c r="CH33" s="595" t="s">
        <v>427</v>
      </c>
      <c r="CI33" s="595"/>
      <c r="CJ33" s="595"/>
      <c r="CK33" s="595"/>
      <c r="CL33" s="595"/>
      <c r="CM33" s="595"/>
      <c r="CN33" s="595"/>
      <c r="CO33" s="595"/>
      <c r="CP33" s="609"/>
    </row>
    <row r="34" spans="83:94">
      <c r="CE34" s="610"/>
      <c r="CF34" s="602"/>
      <c r="CG34" s="611" t="str">
        <f>CG19</f>
        <v>2025Q3</v>
      </c>
      <c r="CH34" s="611" t="str">
        <f t="shared" ref="CH34:CN34" si="2">CH19</f>
        <v>2025Q4</v>
      </c>
      <c r="CI34" s="611" t="str">
        <f t="shared" si="2"/>
        <v>2026Q1</v>
      </c>
      <c r="CJ34" s="611" t="str">
        <f t="shared" si="2"/>
        <v>2026Q2</v>
      </c>
      <c r="CK34" s="611" t="str">
        <f t="shared" si="2"/>
        <v>2026Q3</v>
      </c>
      <c r="CL34" s="611" t="str">
        <f t="shared" si="2"/>
        <v>2026Q4</v>
      </c>
      <c r="CM34" s="611" t="str">
        <f t="shared" si="2"/>
        <v>2027Q1</v>
      </c>
      <c r="CN34" s="611" t="str">
        <f t="shared" si="2"/>
        <v>2027Q2</v>
      </c>
      <c r="CO34" s="595"/>
      <c r="CP34" s="609"/>
    </row>
    <row r="35" spans="83:94">
      <c r="CE35" s="601"/>
      <c r="CF35" s="595"/>
      <c r="CG35" s="612" t="s">
        <v>404</v>
      </c>
      <c r="CH35" s="612" t="s">
        <v>405</v>
      </c>
      <c r="CI35" s="612" t="s">
        <v>406</v>
      </c>
      <c r="CJ35" s="612" t="s">
        <v>407</v>
      </c>
      <c r="CK35" s="613" t="s">
        <v>408</v>
      </c>
      <c r="CL35" s="613" t="s">
        <v>409</v>
      </c>
      <c r="CM35" s="613" t="s">
        <v>410</v>
      </c>
      <c r="CN35" s="613" t="s">
        <v>411</v>
      </c>
      <c r="CO35" s="595"/>
      <c r="CP35" s="609"/>
    </row>
    <row r="36" spans="83:94">
      <c r="CE36" s="601"/>
      <c r="CF36" s="595"/>
      <c r="CG36" s="614">
        <f>CK8</f>
        <v>3.3807002427985302</v>
      </c>
      <c r="CH36" s="614">
        <f t="shared" ref="CH36:CN36" si="3">CL8</f>
        <v>3.4059969087009301</v>
      </c>
      <c r="CI36" s="614">
        <f t="shared" si="3"/>
        <v>3.4377337181428</v>
      </c>
      <c r="CJ36" s="614">
        <f t="shared" si="3"/>
        <v>3.4574970892838501</v>
      </c>
      <c r="CK36" s="614">
        <f t="shared" si="3"/>
        <v>3.4821949067167401</v>
      </c>
      <c r="CL36" s="614">
        <f t="shared" si="3"/>
        <v>3.5031566001205299</v>
      </c>
      <c r="CM36" s="614">
        <f t="shared" si="3"/>
        <v>3.52270272713641</v>
      </c>
      <c r="CN36" s="614">
        <f t="shared" si="3"/>
        <v>3.5419955790195701</v>
      </c>
      <c r="CO36" s="595"/>
      <c r="CP36" s="609">
        <f>AVERAGE(CG36:CN36)</f>
        <v>3.4664972214899197</v>
      </c>
    </row>
    <row r="37" spans="83:94">
      <c r="CE37" s="601"/>
      <c r="CF37" s="595"/>
      <c r="CG37" s="595"/>
      <c r="CH37" s="595"/>
      <c r="CI37" s="595"/>
      <c r="CJ37" s="595"/>
      <c r="CK37" s="595"/>
      <c r="CL37" s="595"/>
      <c r="CM37" s="595"/>
      <c r="CN37" s="595"/>
      <c r="CO37" s="595"/>
      <c r="CP37" s="615"/>
    </row>
    <row r="38" spans="83:94">
      <c r="CE38" s="601"/>
      <c r="CF38" s="595"/>
      <c r="CG38" s="595"/>
      <c r="CH38" s="595"/>
      <c r="CI38" s="595"/>
      <c r="CJ38" s="595"/>
      <c r="CK38" s="595"/>
      <c r="CL38" s="595"/>
      <c r="CM38" s="595"/>
      <c r="CN38" s="595"/>
      <c r="CO38" s="616" t="s">
        <v>122</v>
      </c>
      <c r="CP38" s="617">
        <f>(CP36-CP31)/CP31</f>
        <v>3.2549514448865162E-2</v>
      </c>
    </row>
    <row r="39" spans="83:94">
      <c r="CE39" s="618"/>
      <c r="CF39" s="619"/>
      <c r="CG39" s="619"/>
      <c r="CH39" s="619"/>
      <c r="CI39" s="619"/>
      <c r="CJ39" s="619"/>
      <c r="CK39" s="619"/>
      <c r="CL39" s="619"/>
      <c r="CM39" s="619"/>
      <c r="CN39" s="619"/>
      <c r="CO39" s="619"/>
      <c r="CP39" s="620"/>
    </row>
  </sheetData>
  <mergeCells count="3">
    <mergeCell ref="A1:B1"/>
    <mergeCell ref="CE18:CG18"/>
    <mergeCell ref="CE33:CG33"/>
  </mergeCells>
  <pageMargins left="0.25" right="0.2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1C4B-E58E-43D8-8C91-68C707D177A3}">
  <sheetPr>
    <pageSetUpPr fitToPage="1"/>
  </sheetPr>
  <dimension ref="A1:N40"/>
  <sheetViews>
    <sheetView tabSelected="1" topLeftCell="G1" zoomScale="110" zoomScaleNormal="110" workbookViewId="0">
      <selection activeCell="L34" sqref="L34"/>
    </sheetView>
  </sheetViews>
  <sheetFormatPr defaultColWidth="9.140625" defaultRowHeight="12.75"/>
  <cols>
    <col min="1" max="1" width="7.140625" style="70" hidden="1" customWidth="1"/>
    <col min="2" max="2" width="28.42578125" style="70" hidden="1" customWidth="1"/>
    <col min="3" max="3" width="12.42578125" style="70" hidden="1" customWidth="1"/>
    <col min="4" max="4" width="16.140625" style="70" hidden="1" customWidth="1"/>
    <col min="5" max="5" width="14.28515625" style="70" hidden="1" customWidth="1"/>
    <col min="6" max="6" width="2.85546875" style="70" hidden="1" customWidth="1"/>
    <col min="7" max="7" width="28.42578125" style="70" customWidth="1"/>
    <col min="8" max="8" width="12.85546875" style="70" bestFit="1" customWidth="1"/>
    <col min="9" max="9" width="16.140625" style="70" customWidth="1"/>
    <col min="10" max="10" width="14.28515625" style="70" customWidth="1"/>
    <col min="11" max="11" width="4.42578125" style="70" customWidth="1"/>
    <col min="12" max="12" width="32.42578125" style="70" customWidth="1"/>
    <col min="13" max="13" width="13.85546875" style="70" customWidth="1"/>
    <col min="14" max="14" width="59.7109375" style="70" customWidth="1"/>
    <col min="15" max="16384" width="9.140625" style="70"/>
  </cols>
  <sheetData>
    <row r="1" spans="2:14" ht="13.5" thickBot="1">
      <c r="G1" s="71"/>
    </row>
    <row r="2" spans="2:14" ht="13.5" thickBot="1">
      <c r="B2" s="765" t="s">
        <v>262</v>
      </c>
      <c r="C2" s="766"/>
      <c r="D2" s="766"/>
      <c r="E2" s="767"/>
      <c r="F2" s="306"/>
      <c r="G2" s="768" t="s">
        <v>472</v>
      </c>
      <c r="H2" s="769"/>
      <c r="I2" s="769"/>
      <c r="J2" s="770"/>
      <c r="K2" s="307"/>
      <c r="L2" s="771" t="s">
        <v>473</v>
      </c>
      <c r="M2" s="772"/>
      <c r="N2" s="773"/>
    </row>
    <row r="3" spans="2:14" ht="13.5" thickBot="1">
      <c r="B3" s="222" t="s">
        <v>215</v>
      </c>
      <c r="C3" s="223">
        <v>50</v>
      </c>
      <c r="D3" s="224" t="s">
        <v>216</v>
      </c>
      <c r="E3" s="225">
        <f>C3*365</f>
        <v>18250</v>
      </c>
      <c r="F3" s="306"/>
      <c r="G3" s="226" t="s">
        <v>215</v>
      </c>
      <c r="H3" s="227">
        <v>50</v>
      </c>
      <c r="I3" s="228" t="s">
        <v>216</v>
      </c>
      <c r="J3" s="229">
        <f>H3*365</f>
        <v>18250</v>
      </c>
      <c r="K3" s="306"/>
      <c r="L3" s="774" t="s">
        <v>217</v>
      </c>
      <c r="M3" s="775"/>
      <c r="N3" s="230" t="s">
        <v>218</v>
      </c>
    </row>
    <row r="4" spans="2:14">
      <c r="B4" s="308" t="s">
        <v>263</v>
      </c>
      <c r="C4" s="232" t="s">
        <v>219</v>
      </c>
      <c r="D4" s="233" t="s">
        <v>220</v>
      </c>
      <c r="E4" s="234" t="s">
        <v>221</v>
      </c>
      <c r="F4" s="309"/>
      <c r="G4" s="310" t="s">
        <v>263</v>
      </c>
      <c r="H4" s="236" t="s">
        <v>219</v>
      </c>
      <c r="I4" s="237" t="s">
        <v>220</v>
      </c>
      <c r="J4" s="238" t="s">
        <v>221</v>
      </c>
      <c r="K4" s="309"/>
      <c r="L4" s="90" t="s">
        <v>222</v>
      </c>
      <c r="M4" s="91">
        <f>'M2023 BLS SALARY CHART (53rd)'!C18</f>
        <v>83639.712</v>
      </c>
      <c r="N4" s="92" t="s">
        <v>223</v>
      </c>
    </row>
    <row r="5" spans="2:14">
      <c r="B5" s="239" t="s">
        <v>224</v>
      </c>
      <c r="C5" s="311"/>
      <c r="D5" s="95"/>
      <c r="E5" s="240"/>
      <c r="F5" s="309"/>
      <c r="G5" s="97" t="s">
        <v>224</v>
      </c>
      <c r="H5" s="312"/>
      <c r="I5" s="99"/>
      <c r="J5" s="241"/>
      <c r="K5" s="309"/>
      <c r="L5" s="90" t="s">
        <v>225</v>
      </c>
      <c r="M5" s="91">
        <f>'M2023 BLS SALARY CHART (53rd)'!C22</f>
        <v>80829.631999999998</v>
      </c>
      <c r="N5" s="92" t="s">
        <v>223</v>
      </c>
    </row>
    <row r="6" spans="2:14">
      <c r="B6" s="101" t="s">
        <v>222</v>
      </c>
      <c r="C6" s="102">
        <f>M4</f>
        <v>83639.712</v>
      </c>
      <c r="D6" s="103">
        <f>M14</f>
        <v>1</v>
      </c>
      <c r="E6" s="240">
        <f>D6*C6</f>
        <v>83639.712</v>
      </c>
      <c r="F6" s="309"/>
      <c r="G6" s="106" t="s">
        <v>222</v>
      </c>
      <c r="H6" s="107">
        <f>M4</f>
        <v>83639.712</v>
      </c>
      <c r="I6" s="108">
        <f>M14</f>
        <v>1</v>
      </c>
      <c r="J6" s="241">
        <f>I6*H6</f>
        <v>83639.712</v>
      </c>
      <c r="K6" s="309"/>
      <c r="L6" s="90" t="s">
        <v>208</v>
      </c>
      <c r="M6" s="110">
        <f>'M2021 BLS SALARY CHART (53_PCT)'!C44</f>
        <v>247150</v>
      </c>
      <c r="N6" s="92" t="str">
        <f>'PACT 80 Rate Budget'!N6</f>
        <v xml:space="preserve">BLS/OES MA median </v>
      </c>
    </row>
    <row r="7" spans="2:14">
      <c r="B7" s="101" t="s">
        <v>225</v>
      </c>
      <c r="C7" s="102">
        <f>M5</f>
        <v>80829.631999999998</v>
      </c>
      <c r="D7" s="103">
        <f>M15</f>
        <v>0.05</v>
      </c>
      <c r="E7" s="240">
        <f>D7*C7</f>
        <v>4041.4816000000001</v>
      </c>
      <c r="F7" s="309"/>
      <c r="G7" s="106" t="s">
        <v>225</v>
      </c>
      <c r="H7" s="107">
        <f>M5</f>
        <v>80829.631999999998</v>
      </c>
      <c r="I7" s="108">
        <f>M15</f>
        <v>0.05</v>
      </c>
      <c r="J7" s="241">
        <f>I7*H7</f>
        <v>4041.4816000000001</v>
      </c>
      <c r="K7" s="309"/>
      <c r="L7" s="90" t="s">
        <v>227</v>
      </c>
      <c r="M7" s="91">
        <f>'M2023 BLS SALARY CHART (53rd)'!C32</f>
        <v>103622.27200000001</v>
      </c>
      <c r="N7" s="92" t="s">
        <v>223</v>
      </c>
    </row>
    <row r="8" spans="2:14">
      <c r="B8" s="313" t="s">
        <v>228</v>
      </c>
      <c r="C8" s="314"/>
      <c r="D8" s="103"/>
      <c r="E8" s="240"/>
      <c r="F8" s="309"/>
      <c r="G8" s="113" t="s">
        <v>228</v>
      </c>
      <c r="H8" s="315"/>
      <c r="I8" s="108"/>
      <c r="J8" s="241"/>
      <c r="K8" s="309"/>
      <c r="L8" s="90" t="s">
        <v>469</v>
      </c>
      <c r="M8" s="91">
        <f>'M2023 BLS SALARY CHART (53rd)'!C14</f>
        <v>70211.44</v>
      </c>
      <c r="N8" s="92" t="s">
        <v>223</v>
      </c>
    </row>
    <row r="9" spans="2:14">
      <c r="B9" s="101" t="s">
        <v>208</v>
      </c>
      <c r="C9" s="102">
        <f>M6</f>
        <v>247150</v>
      </c>
      <c r="D9" s="103">
        <f>M16</f>
        <v>0.4</v>
      </c>
      <c r="E9" s="240">
        <f>D9*C9</f>
        <v>98860</v>
      </c>
      <c r="F9" s="309"/>
      <c r="G9" s="106" t="s">
        <v>208</v>
      </c>
      <c r="H9" s="107">
        <f>M6</f>
        <v>247150</v>
      </c>
      <c r="I9" s="108">
        <f>M16</f>
        <v>0.4</v>
      </c>
      <c r="J9" s="241">
        <f>I9*H9</f>
        <v>98860</v>
      </c>
      <c r="K9" s="309"/>
      <c r="L9" s="90" t="s">
        <v>260</v>
      </c>
      <c r="M9" s="91">
        <f>'M2023 BLS SALARY CHART (53rd)'!C18</f>
        <v>83639.712</v>
      </c>
      <c r="N9" s="92" t="s">
        <v>223</v>
      </c>
    </row>
    <row r="10" spans="2:14">
      <c r="B10" s="101" t="s">
        <v>264</v>
      </c>
      <c r="C10" s="102">
        <f>M7</f>
        <v>103622.27200000001</v>
      </c>
      <c r="D10" s="103">
        <f>M17</f>
        <v>2</v>
      </c>
      <c r="E10" s="240">
        <f>D10*C10</f>
        <v>207244.54400000002</v>
      </c>
      <c r="F10" s="316"/>
      <c r="G10" s="106" t="s">
        <v>264</v>
      </c>
      <c r="H10" s="107">
        <f t="shared" ref="H10:H11" si="0">M7</f>
        <v>103622.27200000001</v>
      </c>
      <c r="I10" s="108">
        <f t="shared" ref="I10:I11" si="1">M17</f>
        <v>2</v>
      </c>
      <c r="J10" s="241">
        <f>I10*H10</f>
        <v>207244.54400000002</v>
      </c>
      <c r="K10" s="316"/>
      <c r="L10" s="106" t="s">
        <v>229</v>
      </c>
      <c r="M10" s="91">
        <f>'M2023 BLS SALARY CHART (53rd)'!C8</f>
        <v>56217.241600000001</v>
      </c>
      <c r="N10" s="92" t="s">
        <v>223</v>
      </c>
    </row>
    <row r="11" spans="2:14">
      <c r="B11" s="101" t="s">
        <v>230</v>
      </c>
      <c r="C11" s="102">
        <f>M8</f>
        <v>70211.44</v>
      </c>
      <c r="D11" s="103">
        <f>M18</f>
        <v>1.5</v>
      </c>
      <c r="E11" s="245">
        <f>D11*C11</f>
        <v>105317.16</v>
      </c>
      <c r="F11" s="309"/>
      <c r="G11" s="106" t="str">
        <f>L8</f>
        <v>Clinician (LCSW)</v>
      </c>
      <c r="H11" s="107">
        <f t="shared" si="0"/>
        <v>70211.44</v>
      </c>
      <c r="I11" s="108">
        <f t="shared" si="1"/>
        <v>1.5</v>
      </c>
      <c r="J11" s="246">
        <f>I11*H11</f>
        <v>105317.16</v>
      </c>
      <c r="K11" s="309"/>
      <c r="L11" s="90" t="s">
        <v>235</v>
      </c>
      <c r="M11" s="91">
        <f>'M2023 BLS SALARY CHART (53rd)'!C6</f>
        <v>43247.567999999999</v>
      </c>
      <c r="N11" s="92" t="s">
        <v>223</v>
      </c>
    </row>
    <row r="12" spans="2:14">
      <c r="B12" s="313" t="s">
        <v>232</v>
      </c>
      <c r="C12" s="314"/>
      <c r="D12" s="103"/>
      <c r="E12" s="240"/>
      <c r="F12" s="309"/>
      <c r="G12" s="106" t="str">
        <f>L9</f>
        <v>Clinician (LPHA)</v>
      </c>
      <c r="H12" s="107">
        <f>M9</f>
        <v>83639.712</v>
      </c>
      <c r="I12" s="108">
        <f>M19</f>
        <v>1.5</v>
      </c>
      <c r="J12" s="246">
        <f>H12*I12</f>
        <v>125459.568</v>
      </c>
      <c r="K12" s="309"/>
      <c r="L12" s="117" t="s">
        <v>234</v>
      </c>
      <c r="M12" s="91">
        <f>M11</f>
        <v>43247.567999999999</v>
      </c>
      <c r="N12" s="92" t="s">
        <v>223</v>
      </c>
    </row>
    <row r="13" spans="2:14">
      <c r="B13" s="101" t="s">
        <v>235</v>
      </c>
      <c r="C13" s="102">
        <f>M11</f>
        <v>43247.567999999999</v>
      </c>
      <c r="D13" s="103">
        <f>M20</f>
        <v>1</v>
      </c>
      <c r="E13" s="240">
        <f>D13*C13</f>
        <v>43247.567999999999</v>
      </c>
      <c r="F13" s="309"/>
      <c r="G13" s="113" t="s">
        <v>232</v>
      </c>
      <c r="H13" s="315"/>
      <c r="I13" s="108"/>
      <c r="J13" s="241"/>
      <c r="K13" s="309"/>
      <c r="L13" s="776" t="s">
        <v>236</v>
      </c>
      <c r="M13" s="777"/>
      <c r="N13" s="247"/>
    </row>
    <row r="14" spans="2:14">
      <c r="B14" s="101" t="s">
        <v>265</v>
      </c>
      <c r="C14" s="102">
        <f>M10</f>
        <v>56217.241600000001</v>
      </c>
      <c r="D14" s="103">
        <f>M21</f>
        <v>6.5</v>
      </c>
      <c r="E14" s="240">
        <f>D14*C14</f>
        <v>365412.07040000003</v>
      </c>
      <c r="F14" s="309"/>
      <c r="G14" s="106" t="s">
        <v>229</v>
      </c>
      <c r="H14" s="107">
        <f>M10</f>
        <v>56217.241600000001</v>
      </c>
      <c r="I14" s="108">
        <f>M21</f>
        <v>6.5</v>
      </c>
      <c r="J14" s="241">
        <f>I14*H14</f>
        <v>365412.07040000003</v>
      </c>
      <c r="K14" s="309"/>
      <c r="L14" s="90" t="str">
        <f>L4</f>
        <v>Team Leader (LPHA)</v>
      </c>
      <c r="M14" s="317">
        <v>1</v>
      </c>
      <c r="N14" s="318" t="s">
        <v>238</v>
      </c>
    </row>
    <row r="15" spans="2:14">
      <c r="B15" s="101" t="s">
        <v>234</v>
      </c>
      <c r="C15" s="102">
        <f>M12</f>
        <v>43247.567999999999</v>
      </c>
      <c r="D15" s="103">
        <f>M22</f>
        <v>1</v>
      </c>
      <c r="E15" s="240">
        <f>D15*C15</f>
        <v>43247.567999999999</v>
      </c>
      <c r="F15" s="319"/>
      <c r="G15" s="106" t="s">
        <v>235</v>
      </c>
      <c r="H15" s="107">
        <f>M11</f>
        <v>43247.567999999999</v>
      </c>
      <c r="I15" s="108">
        <f>M20</f>
        <v>1</v>
      </c>
      <c r="J15" s="241">
        <f>I15*H15</f>
        <v>43247.567999999999</v>
      </c>
      <c r="K15" s="319"/>
      <c r="L15" s="90" t="str">
        <f>L5</f>
        <v>Program Functional Manager</v>
      </c>
      <c r="M15" s="317">
        <v>0.05</v>
      </c>
      <c r="N15" s="318" t="s">
        <v>238</v>
      </c>
    </row>
    <row r="16" spans="2:14">
      <c r="B16" s="320" t="s">
        <v>239</v>
      </c>
      <c r="C16" s="251">
        <f>SUM(C6:C15)</f>
        <v>728165.43359999987</v>
      </c>
      <c r="D16" s="260">
        <f>SUM(D6:D15)</f>
        <v>13.45</v>
      </c>
      <c r="E16" s="321">
        <f>SUM(E6:E15)</f>
        <v>951010.10400000005</v>
      </c>
      <c r="F16" s="309"/>
      <c r="G16" s="153" t="s">
        <v>234</v>
      </c>
      <c r="H16" s="254">
        <f t="shared" ref="H16" si="2">M12</f>
        <v>43247.567999999999</v>
      </c>
      <c r="I16" s="255">
        <f t="shared" ref="I16" si="3">M22</f>
        <v>1</v>
      </c>
      <c r="J16" s="256">
        <f>I16*H16</f>
        <v>43247.567999999999</v>
      </c>
      <c r="K16" s="309"/>
      <c r="L16" s="90" t="str">
        <f>L6</f>
        <v>Psychiatrist</v>
      </c>
      <c r="M16" s="317">
        <v>0.4</v>
      </c>
      <c r="N16" s="318" t="s">
        <v>238</v>
      </c>
    </row>
    <row r="17" spans="2:14">
      <c r="B17" s="127"/>
      <c r="C17" s="257"/>
      <c r="D17" s="257"/>
      <c r="E17" s="240"/>
      <c r="F17" s="322"/>
      <c r="G17" s="147"/>
      <c r="H17" s="220"/>
      <c r="I17" s="220"/>
      <c r="J17" s="241"/>
      <c r="K17" s="322"/>
      <c r="L17" s="90" t="str">
        <f>L7</f>
        <v xml:space="preserve">Registered Nurse (RN) </v>
      </c>
      <c r="M17" s="317">
        <v>2</v>
      </c>
      <c r="N17" s="318" t="s">
        <v>238</v>
      </c>
    </row>
    <row r="18" spans="2:14">
      <c r="B18" s="258" t="s">
        <v>240</v>
      </c>
      <c r="C18" s="259"/>
      <c r="D18" s="260">
        <f>D16</f>
        <v>13.45</v>
      </c>
      <c r="E18" s="261">
        <f>E16</f>
        <v>951010.10400000005</v>
      </c>
      <c r="G18" s="262" t="s">
        <v>240</v>
      </c>
      <c r="H18" s="263"/>
      <c r="I18" s="264">
        <f>SUM(I6:I16)</f>
        <v>14.95</v>
      </c>
      <c r="J18" s="265">
        <f>SUM(J6:J16)</f>
        <v>1076469.672</v>
      </c>
      <c r="L18" s="90" t="str">
        <f>L8</f>
        <v>Clinician (LCSW)</v>
      </c>
      <c r="M18" s="317">
        <v>1.5</v>
      </c>
      <c r="N18" s="318" t="s">
        <v>238</v>
      </c>
    </row>
    <row r="19" spans="2:14">
      <c r="B19" s="127"/>
      <c r="C19" s="139"/>
      <c r="D19" s="95"/>
      <c r="E19" s="140"/>
      <c r="F19" s="323"/>
      <c r="G19" s="147"/>
      <c r="I19" s="99"/>
      <c r="J19" s="121"/>
      <c r="K19" s="323"/>
      <c r="L19" s="90" t="s">
        <v>266</v>
      </c>
      <c r="M19" s="317">
        <v>1.5</v>
      </c>
      <c r="N19" s="318" t="s">
        <v>238</v>
      </c>
    </row>
    <row r="20" spans="2:14">
      <c r="B20" s="127" t="s">
        <v>241</v>
      </c>
      <c r="C20" s="139"/>
      <c r="D20" s="324">
        <v>0.21709999999999999</v>
      </c>
      <c r="E20" s="266">
        <f>D20*E16</f>
        <v>206464.29357839999</v>
      </c>
      <c r="F20" s="146"/>
      <c r="G20" s="147" t="s">
        <v>241</v>
      </c>
      <c r="I20" s="267">
        <f>'M2023 BLS SALARY CHART (53rd)'!C38</f>
        <v>0.24970000000000001</v>
      </c>
      <c r="J20" s="149">
        <f>J18*I20</f>
        <v>268794.47709840001</v>
      </c>
      <c r="K20" s="146"/>
      <c r="L20" s="90" t="str">
        <f>L11</f>
        <v>Peer Support Specialist</v>
      </c>
      <c r="M20" s="317">
        <v>1</v>
      </c>
      <c r="N20" s="318" t="s">
        <v>238</v>
      </c>
    </row>
    <row r="21" spans="2:14">
      <c r="B21" s="127"/>
      <c r="C21" s="139"/>
      <c r="D21" s="95"/>
      <c r="E21" s="145"/>
      <c r="F21" s="323"/>
      <c r="G21" s="147"/>
      <c r="I21" s="268"/>
      <c r="J21" s="149"/>
      <c r="K21" s="323"/>
      <c r="L21" s="106" t="str">
        <f>L10</f>
        <v>Direct Care III (Bachelors)</v>
      </c>
      <c r="M21" s="325">
        <v>6.5</v>
      </c>
      <c r="N21" s="318" t="s">
        <v>238</v>
      </c>
    </row>
    <row r="22" spans="2:14">
      <c r="B22" s="258" t="s">
        <v>242</v>
      </c>
      <c r="C22" s="133"/>
      <c r="D22" s="124"/>
      <c r="E22" s="270">
        <f>E18+E20</f>
        <v>1157474.3975784001</v>
      </c>
      <c r="F22" s="323"/>
      <c r="G22" s="262" t="s">
        <v>242</v>
      </c>
      <c r="H22" s="151"/>
      <c r="I22" s="130"/>
      <c r="J22" s="271">
        <f>J18+J20+J21</f>
        <v>1345264.1490984</v>
      </c>
      <c r="K22" s="323"/>
      <c r="L22" s="153" t="str">
        <f t="shared" ref="L22" si="4">L12</f>
        <v>Program Support (Admin)</v>
      </c>
      <c r="M22" s="326">
        <v>1</v>
      </c>
      <c r="N22" s="327" t="s">
        <v>238</v>
      </c>
    </row>
    <row r="23" spans="2:14">
      <c r="B23" s="272"/>
      <c r="C23" s="139"/>
      <c r="D23" s="257" t="s">
        <v>243</v>
      </c>
      <c r="E23" s="266"/>
      <c r="F23" s="136"/>
      <c r="G23" s="147"/>
      <c r="I23" s="220" t="s">
        <v>243</v>
      </c>
      <c r="J23" s="274"/>
      <c r="K23" s="136"/>
      <c r="L23" s="778" t="s">
        <v>244</v>
      </c>
      <c r="M23" s="779"/>
      <c r="N23" s="119"/>
    </row>
    <row r="24" spans="2:14">
      <c r="B24" s="127" t="str">
        <f>L25</f>
        <v>Occupancy (per FTE)</v>
      </c>
      <c r="C24" s="139"/>
      <c r="D24" s="328">
        <f>M25</f>
        <v>8808.246000000001</v>
      </c>
      <c r="E24" s="158">
        <f>D24*D18</f>
        <v>118470.90870000001</v>
      </c>
      <c r="F24" s="136"/>
      <c r="G24" s="147" t="str">
        <f>B24</f>
        <v>Occupancy (per FTE)</v>
      </c>
      <c r="I24" s="329">
        <f>8570*(1+2.78%)</f>
        <v>8808.246000000001</v>
      </c>
      <c r="J24" s="160">
        <f>I24*I18</f>
        <v>131683.27770000001</v>
      </c>
      <c r="K24" s="136"/>
      <c r="L24" s="161" t="s">
        <v>245</v>
      </c>
      <c r="M24" s="280">
        <f>'PACT 80 Rate Budget'!M26</f>
        <v>0.24970000000000001</v>
      </c>
      <c r="N24" s="92" t="s">
        <v>464</v>
      </c>
    </row>
    <row r="25" spans="2:14">
      <c r="B25" s="127" t="str">
        <f>L26</f>
        <v>Other Program Expenses (per FTE)*</v>
      </c>
      <c r="C25" s="139"/>
      <c r="D25" s="330">
        <f>M26</f>
        <v>3199.5414000000001</v>
      </c>
      <c r="E25" s="158">
        <f>D25*D18</f>
        <v>43033.831829999996</v>
      </c>
      <c r="F25" s="146"/>
      <c r="G25" s="147" t="str">
        <f>B25</f>
        <v>Other Program Expenses (per FTE)*</v>
      </c>
      <c r="I25" s="329">
        <f>3113*(1+2.78%)</f>
        <v>3199.5414000000001</v>
      </c>
      <c r="J25" s="160">
        <f>I25*I18</f>
        <v>47833.143929999998</v>
      </c>
      <c r="K25" s="146"/>
      <c r="L25" s="161" t="s">
        <v>246</v>
      </c>
      <c r="M25" s="281">
        <f>I24</f>
        <v>8808.246000000001</v>
      </c>
      <c r="N25" s="164" t="s">
        <v>470</v>
      </c>
    </row>
    <row r="26" spans="2:14" ht="15" customHeight="1" thickBot="1">
      <c r="B26" s="331" t="s">
        <v>247</v>
      </c>
      <c r="C26" s="332"/>
      <c r="D26" s="333"/>
      <c r="E26" s="334">
        <f>SUM(E22:E25)</f>
        <v>1318979.1381084002</v>
      </c>
      <c r="F26" s="146"/>
      <c r="G26" s="147"/>
      <c r="I26" s="329"/>
      <c r="J26" s="160"/>
      <c r="K26" s="146"/>
      <c r="L26" s="335" t="s">
        <v>248</v>
      </c>
      <c r="M26" s="336">
        <f>I25</f>
        <v>3199.5414000000001</v>
      </c>
      <c r="N26" s="164" t="s">
        <v>470</v>
      </c>
    </row>
    <row r="27" spans="2:14">
      <c r="B27" s="272"/>
      <c r="C27" s="139"/>
      <c r="D27" s="95"/>
      <c r="E27" s="145"/>
      <c r="F27" s="146"/>
      <c r="G27" s="262" t="s">
        <v>247</v>
      </c>
      <c r="H27" s="151"/>
      <c r="I27" s="130"/>
      <c r="J27" s="152">
        <f>SUM(J22:J25)</f>
        <v>1524780.5707284</v>
      </c>
      <c r="K27" s="146"/>
      <c r="L27" s="172" t="s">
        <v>250</v>
      </c>
      <c r="M27" s="173">
        <f>'[19]M2021 BLS  SALARY CHART'!D41</f>
        <v>0.12</v>
      </c>
      <c r="N27" s="92" t="str">
        <f>'PACT 80 Rate Budget'!N29</f>
        <v>C.257 Benchmark</v>
      </c>
    </row>
    <row r="28" spans="2:14" ht="13.5" thickBot="1">
      <c r="B28" s="127" t="s">
        <v>249</v>
      </c>
      <c r="C28" s="139"/>
      <c r="D28" s="144">
        <f>M27</f>
        <v>0.12</v>
      </c>
      <c r="E28" s="145">
        <f>D28*E26</f>
        <v>158277.49657300801</v>
      </c>
      <c r="F28" s="323"/>
      <c r="G28" s="168" t="s">
        <v>249</v>
      </c>
      <c r="H28" s="169"/>
      <c r="I28" s="170">
        <f>D28</f>
        <v>0.12</v>
      </c>
      <c r="J28" s="171">
        <f>I28*J27-(J21*I28)</f>
        <v>182973.66848740799</v>
      </c>
      <c r="K28" s="323"/>
      <c r="L28" s="172"/>
      <c r="M28" s="173"/>
      <c r="N28" s="92"/>
    </row>
    <row r="29" spans="2:14" ht="15" customHeight="1" thickTop="1" thickBot="1">
      <c r="B29" s="283" t="s">
        <v>252</v>
      </c>
      <c r="C29" s="179"/>
      <c r="D29" s="180"/>
      <c r="E29" s="284">
        <f>E28+E26</f>
        <v>1477256.6346814083</v>
      </c>
      <c r="F29" s="136"/>
      <c r="G29" s="174" t="s">
        <v>251</v>
      </c>
      <c r="H29" s="175"/>
      <c r="I29" s="337"/>
      <c r="J29" s="177">
        <f>J27+J28</f>
        <v>1707754.239215808</v>
      </c>
      <c r="K29" s="136"/>
      <c r="L29" s="184" t="s">
        <v>253</v>
      </c>
      <c r="M29" s="185">
        <v>0.98</v>
      </c>
      <c r="N29" s="186" t="s">
        <v>238</v>
      </c>
    </row>
    <row r="30" spans="2:14" ht="13.5" thickBot="1">
      <c r="B30" s="187" t="s">
        <v>254</v>
      </c>
      <c r="C30" s="139"/>
      <c r="D30" s="144">
        <f>M28</f>
        <v>0</v>
      </c>
      <c r="E30" s="158">
        <f>E29*D30</f>
        <v>0</v>
      </c>
      <c r="F30" s="323"/>
      <c r="G30" s="338" t="str">
        <f>L31</f>
        <v>CAF FY26</v>
      </c>
      <c r="H30" s="151"/>
      <c r="I30" s="339">
        <f>'Fall CAF'!CP38</f>
        <v>3.2549514448865162E-2</v>
      </c>
      <c r="J30" s="152">
        <f>(J27)*I30</f>
        <v>49630.867218272928</v>
      </c>
      <c r="K30" s="323"/>
      <c r="L30" s="191"/>
      <c r="M30" s="192"/>
      <c r="N30" s="193"/>
    </row>
    <row r="31" spans="2:14" ht="15" customHeight="1" thickBot="1">
      <c r="B31" s="283" t="s">
        <v>267</v>
      </c>
      <c r="C31" s="179"/>
      <c r="D31" s="340"/>
      <c r="E31" s="284">
        <f>E30+E29</f>
        <v>1477256.6346814083</v>
      </c>
      <c r="G31" s="341" t="s">
        <v>255</v>
      </c>
      <c r="I31" s="342"/>
      <c r="J31" s="343">
        <f>J29+J30</f>
        <v>1757385.106434081</v>
      </c>
      <c r="L31" s="191" t="str">
        <f>'PACT 80 Rate Budget'!L33</f>
        <v>CAF FY26</v>
      </c>
      <c r="M31" s="344">
        <f>'PACT 80 Rate Budget'!M33</f>
        <v>3.2549514448865162E-2</v>
      </c>
      <c r="N31" s="345" t="str">
        <f>'PACT 50 Rate Budget'!N32</f>
        <v>Prospective Period FY26 &amp; FY27</v>
      </c>
    </row>
    <row r="32" spans="2:14" ht="13.5" thickBot="1">
      <c r="B32" s="291" t="s">
        <v>257</v>
      </c>
      <c r="C32" s="200"/>
      <c r="D32" s="201"/>
      <c r="E32" s="202">
        <f>E31/E3</f>
        <v>80.945569023638811</v>
      </c>
      <c r="F32" s="346"/>
      <c r="G32" s="347" t="s">
        <v>268</v>
      </c>
      <c r="H32" s="348"/>
      <c r="I32" s="349"/>
      <c r="J32" s="350">
        <f>(J31/J3)</f>
        <v>96.295074325155127</v>
      </c>
      <c r="K32" s="346"/>
      <c r="L32" s="207"/>
      <c r="M32" s="208"/>
      <c r="N32" s="209"/>
    </row>
    <row r="33" spans="2:14" ht="13.5" thickBot="1">
      <c r="B33" s="210" t="s">
        <v>258</v>
      </c>
      <c r="C33" s="211"/>
      <c r="D33" s="212">
        <f>M29</f>
        <v>0.98</v>
      </c>
      <c r="E33" s="295">
        <f>E32/D33</f>
        <v>82.597519411876334</v>
      </c>
      <c r="F33" s="346"/>
      <c r="G33" s="296" t="s">
        <v>258</v>
      </c>
      <c r="H33" s="195"/>
      <c r="I33" s="297">
        <v>0.98</v>
      </c>
      <c r="J33" s="351">
        <f>J32/I33</f>
        <v>98.260279923627678</v>
      </c>
      <c r="L33" s="216"/>
      <c r="M33" s="217"/>
      <c r="N33" s="218"/>
    </row>
    <row r="34" spans="2:14">
      <c r="G34" s="346"/>
      <c r="J34" s="352"/>
      <c r="L34" s="216"/>
      <c r="M34" s="217"/>
      <c r="N34" s="218"/>
    </row>
    <row r="35" spans="2:14">
      <c r="F35" s="741"/>
      <c r="J35" s="742"/>
      <c r="K35" s="741"/>
    </row>
    <row r="36" spans="2:14">
      <c r="B36" s="743"/>
      <c r="C36" s="744"/>
      <c r="D36" s="745"/>
      <c r="G36" s="741"/>
      <c r="H36" s="741"/>
      <c r="I36" s="741"/>
      <c r="J36" s="741"/>
      <c r="L36" s="303"/>
      <c r="M36" s="303"/>
      <c r="N36" s="303"/>
    </row>
    <row r="37" spans="2:14" ht="20.100000000000001" customHeight="1">
      <c r="J37" s="353"/>
      <c r="L37" s="303"/>
      <c r="M37" s="303"/>
      <c r="N37" s="303"/>
    </row>
    <row r="38" spans="2:14" ht="20.100000000000001" customHeight="1">
      <c r="H38" s="746"/>
      <c r="L38" s="303"/>
      <c r="M38" s="303"/>
      <c r="N38" s="303"/>
    </row>
    <row r="39" spans="2:14" ht="20.100000000000001" customHeight="1"/>
    <row r="40" spans="2:14" ht="20.100000000000001" customHeight="1">
      <c r="B40" s="70" t="e">
        <f>CONCATENATE(#REF!," ",#REF!," ",#REF!)</f>
        <v>#REF!</v>
      </c>
      <c r="N40" s="353"/>
    </row>
  </sheetData>
  <mergeCells count="6">
    <mergeCell ref="L23:M23"/>
    <mergeCell ref="B2:E2"/>
    <mergeCell ref="G2:J2"/>
    <mergeCell ref="L2:N2"/>
    <mergeCell ref="L3:M3"/>
    <mergeCell ref="L13:M13"/>
  </mergeCells>
  <pageMargins left="0.25" right="0.25" top="0.75" bottom="0.75" header="0.3" footer="0.3"/>
  <pageSetup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246D1-8C2F-4FBC-B0ED-F04BA5D922CD}">
  <sheetPr>
    <pageSetUpPr fitToPage="1"/>
  </sheetPr>
  <dimension ref="A1:N38"/>
  <sheetViews>
    <sheetView topLeftCell="G1" zoomScaleNormal="100" workbookViewId="0">
      <selection activeCell="T20" sqref="T20"/>
    </sheetView>
  </sheetViews>
  <sheetFormatPr defaultColWidth="9.140625" defaultRowHeight="12.75"/>
  <cols>
    <col min="1" max="1" width="3.42578125" style="70" hidden="1" customWidth="1"/>
    <col min="2" max="2" width="32.42578125" style="70" hidden="1" customWidth="1"/>
    <col min="3" max="3" width="14.7109375" style="70" hidden="1" customWidth="1"/>
    <col min="4" max="4" width="18.28515625" style="70" hidden="1" customWidth="1"/>
    <col min="5" max="5" width="14.42578125" style="70" hidden="1" customWidth="1"/>
    <col min="6" max="6" width="4.7109375" style="70" hidden="1" customWidth="1"/>
    <col min="7" max="7" width="32.42578125" style="70" customWidth="1"/>
    <col min="8" max="8" width="14.7109375" style="70" customWidth="1"/>
    <col min="9" max="9" width="17.42578125" style="70" customWidth="1"/>
    <col min="10" max="10" width="12.28515625" style="70" customWidth="1"/>
    <col min="11" max="11" width="4.7109375" style="70" customWidth="1"/>
    <col min="12" max="12" width="33.85546875" style="70" customWidth="1"/>
    <col min="13" max="13" width="11.85546875" style="70" customWidth="1"/>
    <col min="14" max="14" width="64.28515625" style="70" customWidth="1"/>
    <col min="15" max="16384" width="9.140625" style="70"/>
  </cols>
  <sheetData>
    <row r="1" spans="2:14" ht="13.5" thickBot="1">
      <c r="G1" s="71"/>
    </row>
    <row r="2" spans="2:14" ht="13.5" thickBot="1">
      <c r="B2" s="781" t="s">
        <v>214</v>
      </c>
      <c r="C2" s="782"/>
      <c r="D2" s="782"/>
      <c r="E2" s="783"/>
      <c r="G2" s="784" t="s">
        <v>474</v>
      </c>
      <c r="H2" s="785"/>
      <c r="I2" s="785"/>
      <c r="J2" s="786"/>
      <c r="L2" s="787" t="s">
        <v>475</v>
      </c>
      <c r="M2" s="788"/>
      <c r="N2" s="789"/>
    </row>
    <row r="3" spans="2:14" ht="13.5" thickBot="1">
      <c r="B3" s="72" t="s">
        <v>215</v>
      </c>
      <c r="C3" s="73">
        <v>50</v>
      </c>
      <c r="D3" s="74" t="s">
        <v>216</v>
      </c>
      <c r="E3" s="75">
        <f>C3*365</f>
        <v>18250</v>
      </c>
      <c r="G3" s="76" t="s">
        <v>215</v>
      </c>
      <c r="H3" s="77">
        <v>50</v>
      </c>
      <c r="I3" s="78" t="s">
        <v>216</v>
      </c>
      <c r="J3" s="79">
        <f>H3*365</f>
        <v>18250</v>
      </c>
      <c r="L3" s="790" t="s">
        <v>217</v>
      </c>
      <c r="M3" s="791"/>
      <c r="N3" s="80" t="s">
        <v>218</v>
      </c>
    </row>
    <row r="4" spans="2:14">
      <c r="B4" s="81" t="s">
        <v>125</v>
      </c>
      <c r="C4" s="82" t="s">
        <v>219</v>
      </c>
      <c r="D4" s="83" t="s">
        <v>220</v>
      </c>
      <c r="E4" s="84" t="s">
        <v>221</v>
      </c>
      <c r="F4" s="85"/>
      <c r="G4" s="86" t="s">
        <v>125</v>
      </c>
      <c r="H4" s="87" t="s">
        <v>219</v>
      </c>
      <c r="I4" s="88" t="s">
        <v>220</v>
      </c>
      <c r="J4" s="89" t="s">
        <v>221</v>
      </c>
      <c r="K4" s="85"/>
      <c r="L4" s="90" t="s">
        <v>222</v>
      </c>
      <c r="M4" s="91">
        <f>'M2023 BLS SALARY CHART (53rd)'!C18</f>
        <v>83639.712</v>
      </c>
      <c r="N4" s="92" t="s">
        <v>223</v>
      </c>
    </row>
    <row r="5" spans="2:14">
      <c r="B5" s="93" t="s">
        <v>224</v>
      </c>
      <c r="C5" s="94"/>
      <c r="D5" s="95"/>
      <c r="E5" s="96"/>
      <c r="G5" s="97" t="s">
        <v>224</v>
      </c>
      <c r="H5" s="98"/>
      <c r="I5" s="99"/>
      <c r="J5" s="100"/>
      <c r="L5" s="90" t="s">
        <v>225</v>
      </c>
      <c r="M5" s="91">
        <f>'M2023 BLS SALARY CHART (53rd)'!C22</f>
        <v>80829.631999999998</v>
      </c>
      <c r="N5" s="92" t="s">
        <v>223</v>
      </c>
    </row>
    <row r="6" spans="2:14">
      <c r="B6" s="101" t="s">
        <v>222</v>
      </c>
      <c r="C6" s="102">
        <f>M4</f>
        <v>83639.712</v>
      </c>
      <c r="D6" s="103">
        <f>M14</f>
        <v>1</v>
      </c>
      <c r="E6" s="104">
        <f>D6*C6</f>
        <v>83639.712</v>
      </c>
      <c r="F6" s="105"/>
      <c r="G6" s="106" t="s">
        <v>222</v>
      </c>
      <c r="H6" s="107">
        <f>M4</f>
        <v>83639.712</v>
      </c>
      <c r="I6" s="108">
        <f>M14</f>
        <v>1</v>
      </c>
      <c r="J6" s="109">
        <f>I6*H6</f>
        <v>83639.712</v>
      </c>
      <c r="K6" s="105"/>
      <c r="L6" s="90" t="s">
        <v>208</v>
      </c>
      <c r="M6" s="110">
        <f>'M2021 BLS SALARY CHART (53_PCT)'!C44</f>
        <v>247150</v>
      </c>
      <c r="N6" s="92" t="s">
        <v>226</v>
      </c>
    </row>
    <row r="7" spans="2:14">
      <c r="B7" s="101" t="s">
        <v>225</v>
      </c>
      <c r="C7" s="102">
        <f>M5</f>
        <v>80829.631999999998</v>
      </c>
      <c r="D7" s="103">
        <f>M15</f>
        <v>0.05</v>
      </c>
      <c r="E7" s="104">
        <f>D7*C7</f>
        <v>4041.4816000000001</v>
      </c>
      <c r="F7" s="105"/>
      <c r="G7" s="106" t="s">
        <v>225</v>
      </c>
      <c r="H7" s="107">
        <f>M5</f>
        <v>80829.631999999998</v>
      </c>
      <c r="I7" s="108">
        <f>M15</f>
        <v>0.05</v>
      </c>
      <c r="J7" s="109">
        <f>I7*H7</f>
        <v>4041.4816000000001</v>
      </c>
      <c r="K7" s="105"/>
      <c r="L7" s="90" t="s">
        <v>227</v>
      </c>
      <c r="M7" s="91">
        <f>'M2023 BLS SALARY CHART (53rd)'!C32</f>
        <v>103622.27200000001</v>
      </c>
      <c r="N7" s="92" t="s">
        <v>223</v>
      </c>
    </row>
    <row r="8" spans="2:14">
      <c r="B8" s="111" t="s">
        <v>228</v>
      </c>
      <c r="C8" s="112"/>
      <c r="D8" s="103"/>
      <c r="E8" s="104"/>
      <c r="F8" s="105"/>
      <c r="G8" s="113" t="s">
        <v>228</v>
      </c>
      <c r="H8" s="107"/>
      <c r="I8" s="108"/>
      <c r="J8" s="109"/>
      <c r="K8" s="105"/>
      <c r="L8" s="90" t="str">
        <f>G11</f>
        <v>Clinician (LPHA,)</v>
      </c>
      <c r="M8" s="91">
        <f>'M2023 BLS SALARY CHART (53rd)'!C18</f>
        <v>83639.712</v>
      </c>
      <c r="N8" s="92" t="s">
        <v>223</v>
      </c>
    </row>
    <row r="9" spans="2:14">
      <c r="B9" s="101" t="s">
        <v>208</v>
      </c>
      <c r="C9" s="102">
        <f>M6</f>
        <v>247150</v>
      </c>
      <c r="D9" s="103">
        <f>M16</f>
        <v>0.4</v>
      </c>
      <c r="E9" s="104">
        <f>D9*C9</f>
        <v>98860</v>
      </c>
      <c r="F9" s="105"/>
      <c r="G9" s="106" t="s">
        <v>208</v>
      </c>
      <c r="H9" s="107">
        <f>M6</f>
        <v>247150</v>
      </c>
      <c r="I9" s="108">
        <f>M16</f>
        <v>0.4</v>
      </c>
      <c r="J9" s="109">
        <f>I9*H9</f>
        <v>98860</v>
      </c>
      <c r="K9" s="105"/>
      <c r="L9" s="90" t="str">
        <f>G12</f>
        <v>Clinician (Masters)</v>
      </c>
      <c r="M9" s="91">
        <f>'M2023 BLS SALARY CHART (53rd)'!C14</f>
        <v>70211.44</v>
      </c>
      <c r="N9" s="92" t="s">
        <v>223</v>
      </c>
    </row>
    <row r="10" spans="2:14">
      <c r="B10" s="101" t="s">
        <v>227</v>
      </c>
      <c r="C10" s="102">
        <f>M7</f>
        <v>103622.27200000001</v>
      </c>
      <c r="D10" s="103">
        <f t="shared" ref="D10:D11" si="0">M17</f>
        <v>2</v>
      </c>
      <c r="E10" s="104">
        <f>D10*C10</f>
        <v>207244.54400000002</v>
      </c>
      <c r="F10" s="105"/>
      <c r="G10" s="106" t="s">
        <v>227</v>
      </c>
      <c r="H10" s="107">
        <f t="shared" ref="H10:H11" si="1">M7</f>
        <v>103622.27200000001</v>
      </c>
      <c r="I10" s="108">
        <f t="shared" ref="I10" si="2">M17</f>
        <v>2</v>
      </c>
      <c r="J10" s="109">
        <f>I10*H10</f>
        <v>207244.54400000002</v>
      </c>
      <c r="K10" s="105"/>
      <c r="L10" s="106" t="s">
        <v>229</v>
      </c>
      <c r="M10" s="91">
        <f>'M2023 BLS SALARY CHART (53rd)'!C8</f>
        <v>56217.241600000001</v>
      </c>
      <c r="N10" s="92" t="s">
        <v>223</v>
      </c>
    </row>
    <row r="11" spans="2:14">
      <c r="B11" s="101" t="s">
        <v>230</v>
      </c>
      <c r="C11" s="102">
        <f>M8</f>
        <v>83639.712</v>
      </c>
      <c r="D11" s="103">
        <f t="shared" si="0"/>
        <v>1</v>
      </c>
      <c r="E11" s="114">
        <f>D11*C11</f>
        <v>83639.712</v>
      </c>
      <c r="F11" s="115"/>
      <c r="G11" s="106" t="s">
        <v>231</v>
      </c>
      <c r="H11" s="107">
        <f t="shared" si="1"/>
        <v>83639.712</v>
      </c>
      <c r="I11" s="108">
        <f>M18</f>
        <v>1</v>
      </c>
      <c r="J11" s="116">
        <f>I11*H11</f>
        <v>83639.712</v>
      </c>
      <c r="K11" s="115"/>
      <c r="L11" s="90" t="s">
        <v>232</v>
      </c>
      <c r="M11" s="91">
        <f>'M2023 BLS SALARY CHART (53rd)'!C6</f>
        <v>43247.567999999999</v>
      </c>
      <c r="N11" s="92" t="s">
        <v>223</v>
      </c>
    </row>
    <row r="12" spans="2:14">
      <c r="B12" s="111" t="s">
        <v>232</v>
      </c>
      <c r="C12" s="112"/>
      <c r="D12" s="103"/>
      <c r="E12" s="104"/>
      <c r="F12" s="105"/>
      <c r="G12" s="106" t="s">
        <v>233</v>
      </c>
      <c r="H12" s="91">
        <f>M9</f>
        <v>70211.44</v>
      </c>
      <c r="I12" s="108">
        <f>M19</f>
        <v>1</v>
      </c>
      <c r="J12" s="116">
        <f>H12*I12</f>
        <v>70211.44</v>
      </c>
      <c r="K12" s="105"/>
      <c r="L12" s="117" t="s">
        <v>234</v>
      </c>
      <c r="M12" s="118">
        <f>M11</f>
        <v>43247.567999999999</v>
      </c>
      <c r="N12" s="92" t="s">
        <v>223</v>
      </c>
    </row>
    <row r="13" spans="2:14">
      <c r="B13" s="101" t="s">
        <v>235</v>
      </c>
      <c r="C13" s="102">
        <f>M11</f>
        <v>43247.567999999999</v>
      </c>
      <c r="D13" s="103">
        <f>M20</f>
        <v>1</v>
      </c>
      <c r="E13" s="104">
        <f>D13*C13</f>
        <v>43247.567999999999</v>
      </c>
      <c r="F13" s="105"/>
      <c r="G13" s="113" t="s">
        <v>232</v>
      </c>
      <c r="H13" s="107"/>
      <c r="I13" s="108"/>
      <c r="J13" s="109"/>
      <c r="K13" s="105"/>
      <c r="L13" s="792" t="s">
        <v>236</v>
      </c>
      <c r="M13" s="793"/>
      <c r="N13" s="119"/>
    </row>
    <row r="14" spans="2:14">
      <c r="B14" s="101" t="s">
        <v>237</v>
      </c>
      <c r="C14" s="102">
        <f>M10</f>
        <v>56217.241600000001</v>
      </c>
      <c r="D14" s="103">
        <v>1.5</v>
      </c>
      <c r="E14" s="104">
        <f>D14*C14</f>
        <v>84325.862399999998</v>
      </c>
      <c r="F14" s="105"/>
      <c r="G14" s="106" t="s">
        <v>229</v>
      </c>
      <c r="H14" s="107">
        <f>M10</f>
        <v>56217.241600000001</v>
      </c>
      <c r="I14" s="108">
        <f>M21</f>
        <v>2</v>
      </c>
      <c r="J14" s="109">
        <f>I14*H14</f>
        <v>112434.4832</v>
      </c>
      <c r="K14" s="105"/>
      <c r="L14" s="106" t="str">
        <f>L4</f>
        <v>Team Leader (LPHA)</v>
      </c>
      <c r="M14" s="120">
        <v>1</v>
      </c>
      <c r="N14" s="121" t="s">
        <v>238</v>
      </c>
    </row>
    <row r="15" spans="2:14">
      <c r="B15" s="101" t="s">
        <v>234</v>
      </c>
      <c r="C15" s="102">
        <f>M12</f>
        <v>43247.567999999999</v>
      </c>
      <c r="D15" s="103">
        <f t="shared" ref="D15" si="3">M23</f>
        <v>1</v>
      </c>
      <c r="E15" s="104">
        <f>D15*C15</f>
        <v>43247.567999999999</v>
      </c>
      <c r="F15" s="105"/>
      <c r="G15" s="106" t="s">
        <v>235</v>
      </c>
      <c r="H15" s="107">
        <f>M11</f>
        <v>43247.567999999999</v>
      </c>
      <c r="I15" s="108">
        <f>M22</f>
        <v>1</v>
      </c>
      <c r="J15" s="109">
        <f>H15*I15</f>
        <v>43247.567999999999</v>
      </c>
      <c r="K15" s="105"/>
      <c r="L15" s="106" t="str">
        <f>L5</f>
        <v>Program Functional Manager</v>
      </c>
      <c r="M15" s="120">
        <v>0.05</v>
      </c>
      <c r="N15" s="121" t="s">
        <v>238</v>
      </c>
    </row>
    <row r="16" spans="2:14">
      <c r="B16" s="122" t="s">
        <v>239</v>
      </c>
      <c r="C16" s="123">
        <f>SUM(C6:C15)</f>
        <v>741593.70559999987</v>
      </c>
      <c r="D16" s="124">
        <f>SUM(D6:D15)</f>
        <v>7.95</v>
      </c>
      <c r="E16" s="125">
        <f>SUM(E6:E15)</f>
        <v>648246.44799999997</v>
      </c>
      <c r="F16" s="126"/>
      <c r="G16" s="106" t="str">
        <f>L11</f>
        <v>Direct Care</v>
      </c>
      <c r="H16" s="107">
        <f>M11</f>
        <v>43247.567999999999</v>
      </c>
      <c r="I16" s="108">
        <f>M20</f>
        <v>1</v>
      </c>
      <c r="J16" s="109">
        <f>I16*H16</f>
        <v>43247.567999999999</v>
      </c>
      <c r="K16" s="105"/>
      <c r="L16" s="106" t="str">
        <f>L6</f>
        <v>Psychiatrist</v>
      </c>
      <c r="M16" s="120">
        <v>0.4</v>
      </c>
      <c r="N16" s="121" t="s">
        <v>238</v>
      </c>
    </row>
    <row r="17" spans="2:14">
      <c r="B17" s="127"/>
      <c r="C17" s="95"/>
      <c r="D17" s="95"/>
      <c r="E17" s="104"/>
      <c r="F17" s="105"/>
      <c r="G17" s="106" t="s">
        <v>234</v>
      </c>
      <c r="H17" s="107">
        <f t="shared" ref="H17" si="4">M12</f>
        <v>43247.567999999999</v>
      </c>
      <c r="I17" s="108">
        <f t="shared" ref="I17" si="5">M23</f>
        <v>1</v>
      </c>
      <c r="J17" s="109">
        <f>I17*H17</f>
        <v>43247.567999999999</v>
      </c>
      <c r="K17" s="126"/>
      <c r="L17" s="106" t="str">
        <f>L7</f>
        <v xml:space="preserve">Registered Nurse (RN) </v>
      </c>
      <c r="M17" s="120">
        <v>2</v>
      </c>
      <c r="N17" s="121" t="s">
        <v>238</v>
      </c>
    </row>
    <row r="18" spans="2:14">
      <c r="B18" s="132" t="s">
        <v>240</v>
      </c>
      <c r="C18" s="133"/>
      <c r="D18" s="134">
        <f>D16</f>
        <v>7.95</v>
      </c>
      <c r="E18" s="135">
        <f>E16</f>
        <v>648246.44799999997</v>
      </c>
      <c r="F18" s="136"/>
      <c r="G18" s="128"/>
      <c r="H18" s="129"/>
      <c r="I18" s="130"/>
      <c r="J18" s="131"/>
      <c r="K18" s="105"/>
      <c r="L18" s="106" t="str">
        <f>L8</f>
        <v>Clinician (LPHA,)</v>
      </c>
      <c r="M18" s="120">
        <v>1</v>
      </c>
      <c r="N18" s="121" t="s">
        <v>238</v>
      </c>
    </row>
    <row r="19" spans="2:14">
      <c r="B19" s="127"/>
      <c r="C19" s="139"/>
      <c r="D19" s="95"/>
      <c r="E19" s="140"/>
      <c r="G19" s="137" t="s">
        <v>240</v>
      </c>
      <c r="H19" s="99"/>
      <c r="I19" s="138">
        <f>SUM(I6:I17)</f>
        <v>10.45</v>
      </c>
      <c r="J19" s="109">
        <f>SUM(J6:J17)</f>
        <v>789814.07679999992</v>
      </c>
      <c r="K19" s="136"/>
      <c r="L19" s="106" t="s">
        <v>233</v>
      </c>
      <c r="M19" s="120">
        <v>1</v>
      </c>
      <c r="N19" s="121" t="s">
        <v>238</v>
      </c>
    </row>
    <row r="20" spans="2:14">
      <c r="B20" s="127" t="s">
        <v>241</v>
      </c>
      <c r="C20" s="139"/>
      <c r="D20" s="144">
        <v>0.21709999999999999</v>
      </c>
      <c r="E20" s="145">
        <f>D20*E16</f>
        <v>140734.30386079999</v>
      </c>
      <c r="F20" s="146"/>
      <c r="G20" s="141"/>
      <c r="H20" s="98"/>
      <c r="I20" s="142"/>
      <c r="J20" s="143"/>
      <c r="L20" s="106" t="str">
        <f>L11</f>
        <v>Direct Care</v>
      </c>
      <c r="M20" s="120">
        <v>1</v>
      </c>
      <c r="N20" s="121" t="s">
        <v>238</v>
      </c>
    </row>
    <row r="21" spans="2:14">
      <c r="B21" s="127"/>
      <c r="C21" s="139"/>
      <c r="D21" s="139"/>
      <c r="E21" s="145"/>
      <c r="F21" s="146"/>
      <c r="G21" s="147" t="s">
        <v>241</v>
      </c>
      <c r="I21" s="148">
        <f>M25</f>
        <v>0.24970000000000001</v>
      </c>
      <c r="J21" s="149">
        <f>J19*I21</f>
        <v>197216.57497695999</v>
      </c>
      <c r="K21" s="146"/>
      <c r="L21" s="106" t="str">
        <f>L10</f>
        <v>Direct Care III (Bachelors)</v>
      </c>
      <c r="M21" s="120">
        <v>2</v>
      </c>
      <c r="N21" s="121" t="s">
        <v>238</v>
      </c>
    </row>
    <row r="22" spans="2:14">
      <c r="B22" s="132" t="s">
        <v>242</v>
      </c>
      <c r="C22" s="133"/>
      <c r="D22" s="133"/>
      <c r="E22" s="150">
        <f>E18+E20</f>
        <v>788980.75186079997</v>
      </c>
      <c r="F22" s="146"/>
      <c r="G22" s="147"/>
      <c r="I22" s="148"/>
      <c r="J22" s="149"/>
      <c r="K22" s="146"/>
      <c r="L22" s="106" t="s">
        <v>235</v>
      </c>
      <c r="M22" s="120">
        <v>1</v>
      </c>
      <c r="N22" s="121" t="s">
        <v>238</v>
      </c>
    </row>
    <row r="23" spans="2:14">
      <c r="B23" s="127"/>
      <c r="C23" s="139"/>
      <c r="D23" s="95" t="s">
        <v>243</v>
      </c>
      <c r="E23" s="145"/>
      <c r="F23" s="146"/>
      <c r="G23" s="137" t="s">
        <v>242</v>
      </c>
      <c r="H23" s="151"/>
      <c r="I23" s="151"/>
      <c r="J23" s="152">
        <f>SUM(J19:J22)</f>
        <v>987030.65177695989</v>
      </c>
      <c r="K23" s="146"/>
      <c r="L23" s="153" t="str">
        <f t="shared" ref="L23" si="6">L12</f>
        <v>Program Support (Admin)</v>
      </c>
      <c r="M23" s="154">
        <v>1</v>
      </c>
      <c r="N23" s="155" t="s">
        <v>238</v>
      </c>
    </row>
    <row r="24" spans="2:14">
      <c r="B24" s="127" t="str">
        <f>L26</f>
        <v>Occupancy (per FTE)</v>
      </c>
      <c r="C24" s="139"/>
      <c r="D24" s="157">
        <f>M26</f>
        <v>9875.1023999999998</v>
      </c>
      <c r="E24" s="158">
        <f>D24*D18</f>
        <v>78507.064079999996</v>
      </c>
      <c r="F24" s="136"/>
      <c r="G24" s="147"/>
      <c r="I24" s="99" t="s">
        <v>243</v>
      </c>
      <c r="J24" s="149"/>
      <c r="K24" s="146"/>
      <c r="L24" s="794" t="s">
        <v>244</v>
      </c>
      <c r="M24" s="795"/>
      <c r="N24" s="156"/>
    </row>
    <row r="25" spans="2:14">
      <c r="B25" s="127" t="str">
        <f>L27</f>
        <v>Other Program Expenses (per FTE)*</v>
      </c>
      <c r="C25" s="139"/>
      <c r="D25" s="157">
        <f>M27</f>
        <v>3199.5414000000001</v>
      </c>
      <c r="E25" s="158">
        <f>D25*D18</f>
        <v>25436.35413</v>
      </c>
      <c r="F25" s="136"/>
      <c r="G25" s="147" t="str">
        <f>B24</f>
        <v>Occupancy (per FTE)</v>
      </c>
      <c r="I25" s="159">
        <f>9608*(1+2.78%)</f>
        <v>9875.1023999999998</v>
      </c>
      <c r="J25" s="160">
        <f>I25*I19</f>
        <v>103194.82007999999</v>
      </c>
      <c r="K25" s="146"/>
      <c r="L25" s="161" t="s">
        <v>245</v>
      </c>
      <c r="M25" s="162">
        <f>'M2023 BLS SALARY CHART (53rd)'!C38</f>
        <v>0.24970000000000001</v>
      </c>
      <c r="N25" s="92" t="s">
        <v>464</v>
      </c>
    </row>
    <row r="26" spans="2:14">
      <c r="B26" s="132" t="s">
        <v>247</v>
      </c>
      <c r="C26" s="133"/>
      <c r="D26" s="133"/>
      <c r="E26" s="150">
        <f>SUM(E22:E25)</f>
        <v>892924.1700708</v>
      </c>
      <c r="F26" s="146"/>
      <c r="G26" s="147" t="str">
        <f>B25</f>
        <v>Other Program Expenses (per FTE)*</v>
      </c>
      <c r="I26" s="159">
        <f>3113*(1+2.78%)</f>
        <v>3199.5414000000001</v>
      </c>
      <c r="J26" s="160">
        <f>I26*I19</f>
        <v>33435.207629999997</v>
      </c>
      <c r="K26" s="136"/>
      <c r="L26" s="161" t="s">
        <v>246</v>
      </c>
      <c r="M26" s="740">
        <f>I25</f>
        <v>9875.1023999999998</v>
      </c>
      <c r="N26" s="164" t="s">
        <v>471</v>
      </c>
    </row>
    <row r="27" spans="2:14">
      <c r="B27" s="166"/>
      <c r="C27" s="94"/>
      <c r="D27" s="94"/>
      <c r="E27" s="167"/>
      <c r="F27" s="146"/>
      <c r="G27" s="137" t="s">
        <v>247</v>
      </c>
      <c r="H27" s="151"/>
      <c r="I27" s="151"/>
      <c r="J27" s="152">
        <f>SUM(J23:J26)</f>
        <v>1123660.6794869599</v>
      </c>
      <c r="K27" s="136"/>
      <c r="L27" s="165" t="s">
        <v>248</v>
      </c>
      <c r="M27" s="740">
        <f>I26</f>
        <v>3199.5414000000001</v>
      </c>
      <c r="N27" s="164" t="s">
        <v>471</v>
      </c>
    </row>
    <row r="28" spans="2:14" ht="13.5" thickBot="1">
      <c r="B28" s="127" t="s">
        <v>249</v>
      </c>
      <c r="C28" s="139"/>
      <c r="D28" s="144">
        <f>M28</f>
        <v>0.12</v>
      </c>
      <c r="E28" s="145">
        <f>D28*E26</f>
        <v>107150.90040849599</v>
      </c>
      <c r="F28" s="146"/>
      <c r="G28" s="168" t="s">
        <v>249</v>
      </c>
      <c r="H28" s="169"/>
      <c r="I28" s="170">
        <f>D28</f>
        <v>0.12</v>
      </c>
      <c r="J28" s="171">
        <f>I28*J27</f>
        <v>134839.2815384352</v>
      </c>
      <c r="K28" s="146"/>
      <c r="L28" s="172" t="s">
        <v>250</v>
      </c>
      <c r="M28" s="173">
        <f>'[19]M2021 BLS  SALARY CHART'!D41</f>
        <v>0.12</v>
      </c>
      <c r="N28" s="92" t="s">
        <v>206</v>
      </c>
    </row>
    <row r="29" spans="2:14" ht="15" customHeight="1" thickTop="1">
      <c r="B29" s="178" t="s">
        <v>252</v>
      </c>
      <c r="C29" s="179"/>
      <c r="D29" s="180"/>
      <c r="E29" s="181">
        <f>E28+E26</f>
        <v>1000075.070479296</v>
      </c>
      <c r="F29" s="146"/>
      <c r="G29" s="174" t="s">
        <v>251</v>
      </c>
      <c r="H29" s="175"/>
      <c r="I29" s="176"/>
      <c r="J29" s="177">
        <f>J28+J27</f>
        <v>1258499.9610253952</v>
      </c>
      <c r="K29" s="146"/>
      <c r="L29" s="172"/>
      <c r="M29" s="173"/>
      <c r="N29" s="92"/>
    </row>
    <row r="30" spans="2:14" ht="13.5" thickBot="1">
      <c r="B30" s="187" t="s">
        <v>254</v>
      </c>
      <c r="C30" s="139"/>
      <c r="D30" s="144">
        <f>M29</f>
        <v>0</v>
      </c>
      <c r="E30" s="158">
        <f>E29*D30</f>
        <v>0</v>
      </c>
      <c r="F30" s="136"/>
      <c r="G30" s="182" t="str">
        <f>L32</f>
        <v>CAF FY26</v>
      </c>
      <c r="I30" s="183">
        <f>M32</f>
        <v>3.2549514448865162E-2</v>
      </c>
      <c r="J30" s="149">
        <f>(J27)*I30</f>
        <v>36574.609522582447</v>
      </c>
      <c r="K30" s="146"/>
      <c r="L30" s="184" t="s">
        <v>253</v>
      </c>
      <c r="M30" s="185">
        <v>0.98</v>
      </c>
      <c r="N30" s="186" t="s">
        <v>238</v>
      </c>
    </row>
    <row r="31" spans="2:14" ht="13.5" thickBot="1">
      <c r="B31" s="178" t="s">
        <v>256</v>
      </c>
      <c r="C31" s="179"/>
      <c r="D31" s="179"/>
      <c r="E31" s="181">
        <f>E30+E29</f>
        <v>1000075.070479296</v>
      </c>
      <c r="F31" s="146"/>
      <c r="G31" s="188" t="s">
        <v>255</v>
      </c>
      <c r="H31" s="98"/>
      <c r="I31" s="189"/>
      <c r="J31" s="190">
        <f>SUM(J29:J30)</f>
        <v>1295074.5705479777</v>
      </c>
      <c r="K31" s="146"/>
      <c r="L31" s="191"/>
      <c r="M31" s="192"/>
      <c r="N31" s="193"/>
    </row>
    <row r="32" spans="2:14" ht="13.5" thickBot="1">
      <c r="B32" s="199" t="s">
        <v>257</v>
      </c>
      <c r="C32" s="200"/>
      <c r="D32" s="201"/>
      <c r="E32" s="202">
        <f>E31/E3</f>
        <v>54.798633998865533</v>
      </c>
      <c r="G32" s="194" t="s">
        <v>257</v>
      </c>
      <c r="H32" s="195"/>
      <c r="I32" s="196"/>
      <c r="J32" s="197">
        <f>J31/J3</f>
        <v>70.962990167012478</v>
      </c>
      <c r="K32" s="136"/>
      <c r="L32" s="198" t="s">
        <v>463</v>
      </c>
      <c r="M32" s="192">
        <f>'Fall CAF'!CP38</f>
        <v>3.2549514448865162E-2</v>
      </c>
      <c r="N32" s="193" t="s">
        <v>462</v>
      </c>
    </row>
    <row r="33" spans="2:14" ht="13.5" thickBot="1">
      <c r="B33" s="210" t="s">
        <v>258</v>
      </c>
      <c r="C33" s="211"/>
      <c r="D33" s="212">
        <f>M30</f>
        <v>0.98</v>
      </c>
      <c r="E33" s="213">
        <f>E32/D33</f>
        <v>55.91697346823014</v>
      </c>
      <c r="F33" s="99"/>
      <c r="G33" s="203" t="s">
        <v>258</v>
      </c>
      <c r="H33" s="204"/>
      <c r="I33" s="205">
        <f>D33</f>
        <v>0.98</v>
      </c>
      <c r="J33" s="206">
        <f>J32/I33</f>
        <v>72.411214456135184</v>
      </c>
      <c r="K33" s="146"/>
      <c r="L33" s="207"/>
      <c r="M33" s="208"/>
      <c r="N33" s="209"/>
    </row>
    <row r="34" spans="2:14">
      <c r="F34" s="214"/>
      <c r="G34" s="214"/>
      <c r="H34" s="214"/>
      <c r="I34" s="214"/>
      <c r="J34" s="215"/>
      <c r="L34" s="216"/>
      <c r="M34" s="217"/>
      <c r="N34" s="218"/>
    </row>
    <row r="35" spans="2:14">
      <c r="J35" s="219"/>
      <c r="K35" s="99"/>
    </row>
    <row r="36" spans="2:14">
      <c r="K36" s="214"/>
      <c r="L36" s="780"/>
      <c r="M36" s="780"/>
      <c r="N36" s="780"/>
    </row>
    <row r="37" spans="2:14">
      <c r="L37" s="780"/>
      <c r="M37" s="780"/>
      <c r="N37" s="780"/>
    </row>
    <row r="38" spans="2:14">
      <c r="L38" s="780"/>
      <c r="M38" s="780"/>
      <c r="N38" s="780"/>
    </row>
  </sheetData>
  <mergeCells count="7">
    <mergeCell ref="L36:N38"/>
    <mergeCell ref="B2:E2"/>
    <mergeCell ref="G2:J2"/>
    <mergeCell ref="L2:N2"/>
    <mergeCell ref="L3:M3"/>
    <mergeCell ref="L13:M13"/>
    <mergeCell ref="L24:M24"/>
  </mergeCells>
  <pageMargins left="0.7" right="0.7" top="0.75" bottom="0.75" header="0.3" footer="0.3"/>
  <pageSetup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30F6-0110-4E93-9552-447A6AE7DAE5}">
  <sheetPr>
    <pageSetUpPr fitToPage="1"/>
  </sheetPr>
  <dimension ref="A1:V49"/>
  <sheetViews>
    <sheetView topLeftCell="G1" zoomScaleNormal="100" workbookViewId="0">
      <selection activeCell="T10" sqref="T10"/>
    </sheetView>
  </sheetViews>
  <sheetFormatPr defaultColWidth="8.85546875" defaultRowHeight="12.75"/>
  <cols>
    <col min="1" max="1" width="4.42578125" style="70" hidden="1" customWidth="1"/>
    <col min="2" max="2" width="35.42578125" style="70" hidden="1" customWidth="1"/>
    <col min="3" max="3" width="14.28515625" style="70" hidden="1" customWidth="1"/>
    <col min="4" max="4" width="18" style="70" hidden="1" customWidth="1"/>
    <col min="5" max="5" width="16.42578125" style="70" hidden="1" customWidth="1"/>
    <col min="6" max="6" width="2.28515625" style="70" hidden="1" customWidth="1"/>
    <col min="7" max="7" width="29.140625" style="70" customWidth="1"/>
    <col min="8" max="8" width="15.7109375" style="70" customWidth="1"/>
    <col min="9" max="9" width="15.28515625" style="70" customWidth="1"/>
    <col min="10" max="10" width="15.7109375" style="70" customWidth="1"/>
    <col min="11" max="11" width="4.42578125" style="70" customWidth="1"/>
    <col min="12" max="12" width="35.140625" style="70" customWidth="1"/>
    <col min="13" max="13" width="12.42578125" style="70" customWidth="1"/>
    <col min="14" max="14" width="65.42578125" style="70" customWidth="1"/>
    <col min="15" max="15" width="12.7109375" style="70" customWidth="1"/>
    <col min="16" max="19" width="8.85546875" style="70"/>
    <col min="20" max="20" width="35.42578125" style="70" customWidth="1"/>
    <col min="21" max="22" width="13.85546875" style="99" customWidth="1"/>
    <col min="23" max="16384" width="8.85546875" style="70"/>
  </cols>
  <sheetData>
    <row r="1" spans="2:15" ht="13.5" thickBot="1">
      <c r="G1" s="71"/>
    </row>
    <row r="2" spans="2:15" ht="13.5" thickBot="1">
      <c r="B2" s="765" t="s">
        <v>259</v>
      </c>
      <c r="C2" s="766"/>
      <c r="D2" s="766"/>
      <c r="E2" s="767"/>
      <c r="F2" s="220"/>
      <c r="G2" s="768" t="s">
        <v>476</v>
      </c>
      <c r="H2" s="769"/>
      <c r="I2" s="769"/>
      <c r="J2" s="770"/>
      <c r="K2" s="220"/>
      <c r="L2" s="771" t="s">
        <v>475</v>
      </c>
      <c r="M2" s="772"/>
      <c r="N2" s="773"/>
      <c r="O2" s="221"/>
    </row>
    <row r="3" spans="2:15" ht="13.5" thickBot="1">
      <c r="B3" s="222" t="s">
        <v>215</v>
      </c>
      <c r="C3" s="223">
        <v>80</v>
      </c>
      <c r="D3" s="224" t="s">
        <v>216</v>
      </c>
      <c r="E3" s="225">
        <f>C3*365</f>
        <v>29200</v>
      </c>
      <c r="G3" s="226" t="s">
        <v>215</v>
      </c>
      <c r="H3" s="227">
        <v>80</v>
      </c>
      <c r="I3" s="228" t="s">
        <v>216</v>
      </c>
      <c r="J3" s="229">
        <f>H3*365</f>
        <v>29200</v>
      </c>
      <c r="L3" s="774" t="s">
        <v>217</v>
      </c>
      <c r="M3" s="775"/>
      <c r="N3" s="230" t="s">
        <v>218</v>
      </c>
      <c r="O3" s="221"/>
    </row>
    <row r="4" spans="2:15">
      <c r="B4" s="231" t="s">
        <v>125</v>
      </c>
      <c r="C4" s="232" t="s">
        <v>219</v>
      </c>
      <c r="D4" s="233" t="s">
        <v>220</v>
      </c>
      <c r="E4" s="234" t="s">
        <v>221</v>
      </c>
      <c r="G4" s="235" t="s">
        <v>125</v>
      </c>
      <c r="H4" s="236" t="s">
        <v>219</v>
      </c>
      <c r="I4" s="237" t="s">
        <v>220</v>
      </c>
      <c r="J4" s="238" t="s">
        <v>221</v>
      </c>
      <c r="L4" s="90" t="s">
        <v>222</v>
      </c>
      <c r="M4" s="91">
        <f>'M2023 BLS SALARY CHART (53rd)'!C18</f>
        <v>83639.712</v>
      </c>
      <c r="N4" s="92" t="s">
        <v>223</v>
      </c>
      <c r="O4" s="221"/>
    </row>
    <row r="5" spans="2:15">
      <c r="B5" s="239" t="s">
        <v>224</v>
      </c>
      <c r="C5" s="94"/>
      <c r="D5" s="95"/>
      <c r="E5" s="140"/>
      <c r="G5" s="97" t="s">
        <v>224</v>
      </c>
      <c r="H5" s="98"/>
      <c r="I5" s="99"/>
      <c r="J5" s="121"/>
      <c r="L5" s="90" t="s">
        <v>225</v>
      </c>
      <c r="M5" s="91">
        <f>'M2023 BLS SALARY CHART (53rd)'!C22</f>
        <v>80829.631999999998</v>
      </c>
      <c r="N5" s="92" t="str">
        <f>'PACT 50 Rate Budget'!N5</f>
        <v>BLS Benchmark</v>
      </c>
      <c r="O5" s="221"/>
    </row>
    <row r="6" spans="2:15">
      <c r="B6" s="101" t="s">
        <v>222</v>
      </c>
      <c r="C6" s="102">
        <f>M4</f>
        <v>83639.712</v>
      </c>
      <c r="D6" s="103">
        <f>M15</f>
        <v>1</v>
      </c>
      <c r="E6" s="240">
        <f>D6*C6</f>
        <v>83639.712</v>
      </c>
      <c r="G6" s="106" t="s">
        <v>222</v>
      </c>
      <c r="H6" s="107">
        <f>M4</f>
        <v>83639.712</v>
      </c>
      <c r="I6" s="108">
        <f>M15</f>
        <v>1</v>
      </c>
      <c r="J6" s="241">
        <f>I6*H6</f>
        <v>83639.712</v>
      </c>
      <c r="L6" s="90" t="s">
        <v>208</v>
      </c>
      <c r="M6" s="91">
        <f>'M2021 BLS SALARY CHART (53_PCT)'!C44</f>
        <v>247150</v>
      </c>
      <c r="N6" s="164" t="str">
        <f>'PACT 50 Rate Budget'!N6</f>
        <v xml:space="preserve">BLS/OES MA median </v>
      </c>
      <c r="O6" s="221"/>
    </row>
    <row r="7" spans="2:15">
      <c r="B7" s="101" t="s">
        <v>225</v>
      </c>
      <c r="C7" s="102">
        <f>M5</f>
        <v>80829.631999999998</v>
      </c>
      <c r="D7" s="103">
        <f>M16</f>
        <v>0.05</v>
      </c>
      <c r="E7" s="240">
        <f>D7*C7</f>
        <v>4041.4816000000001</v>
      </c>
      <c r="G7" s="106" t="s">
        <v>225</v>
      </c>
      <c r="H7" s="107">
        <f t="shared" ref="H7:I10" si="0">C7</f>
        <v>80829.631999999998</v>
      </c>
      <c r="I7" s="108">
        <f t="shared" si="0"/>
        <v>0.05</v>
      </c>
      <c r="J7" s="241">
        <f>I7*H7</f>
        <v>4041.4816000000001</v>
      </c>
      <c r="L7" s="90" t="s">
        <v>227</v>
      </c>
      <c r="M7" s="91">
        <f>'M2023 BLS SALARY CHART (53rd)'!C32</f>
        <v>103622.27200000001</v>
      </c>
      <c r="N7" s="92" t="s">
        <v>223</v>
      </c>
      <c r="O7" s="221"/>
    </row>
    <row r="8" spans="2:15">
      <c r="B8" s="242" t="s">
        <v>228</v>
      </c>
      <c r="C8" s="102"/>
      <c r="D8" s="103"/>
      <c r="E8" s="240"/>
      <c r="G8" s="243" t="s">
        <v>228</v>
      </c>
      <c r="H8" s="107"/>
      <c r="I8" s="108"/>
      <c r="J8" s="241"/>
      <c r="L8" s="90" t="s">
        <v>233</v>
      </c>
      <c r="M8" s="91">
        <f>'M2023 BLS SALARY CHART (53rd)'!C18</f>
        <v>83639.712</v>
      </c>
      <c r="N8" s="92" t="s">
        <v>223</v>
      </c>
      <c r="O8" s="221"/>
    </row>
    <row r="9" spans="2:15">
      <c r="B9" s="101" t="s">
        <v>208</v>
      </c>
      <c r="C9" s="102">
        <f>M6</f>
        <v>247150</v>
      </c>
      <c r="D9" s="103">
        <f>M17</f>
        <v>0.64</v>
      </c>
      <c r="E9" s="240">
        <f>D9*C9</f>
        <v>158176</v>
      </c>
      <c r="G9" s="106" t="s">
        <v>208</v>
      </c>
      <c r="H9" s="107">
        <f t="shared" si="0"/>
        <v>247150</v>
      </c>
      <c r="I9" s="108">
        <f t="shared" si="0"/>
        <v>0.64</v>
      </c>
      <c r="J9" s="241">
        <f>I9*H9</f>
        <v>158176</v>
      </c>
      <c r="L9" s="90" t="s">
        <v>260</v>
      </c>
      <c r="M9" s="91">
        <f>'M2021 BLS SALARY CHART (53_PCT)'!C18</f>
        <v>73170.656000000003</v>
      </c>
      <c r="N9" s="92" t="s">
        <v>223</v>
      </c>
      <c r="O9" s="244"/>
    </row>
    <row r="10" spans="2:15">
      <c r="B10" s="101" t="s">
        <v>227</v>
      </c>
      <c r="C10" s="102">
        <f>M7</f>
        <v>103622.27200000001</v>
      </c>
      <c r="D10" s="103">
        <f t="shared" ref="D10:D11" si="1">M18</f>
        <v>3</v>
      </c>
      <c r="E10" s="240">
        <f>D10*C10</f>
        <v>310866.81600000005</v>
      </c>
      <c r="G10" s="106" t="s">
        <v>227</v>
      </c>
      <c r="H10" s="107">
        <f t="shared" si="0"/>
        <v>103622.27200000001</v>
      </c>
      <c r="I10" s="108">
        <f t="shared" si="0"/>
        <v>3</v>
      </c>
      <c r="J10" s="241">
        <f>I10*H10</f>
        <v>310866.81600000005</v>
      </c>
      <c r="L10" s="90" t="s">
        <v>229</v>
      </c>
      <c r="M10" s="91">
        <f>'M2023 BLS SALARY CHART (53rd)'!C8</f>
        <v>56217.241600000001</v>
      </c>
      <c r="N10" s="92" t="s">
        <v>223</v>
      </c>
      <c r="O10" s="244"/>
    </row>
    <row r="11" spans="2:15">
      <c r="B11" s="101" t="s">
        <v>230</v>
      </c>
      <c r="C11" s="102">
        <f>M8</f>
        <v>83639.712</v>
      </c>
      <c r="D11" s="103">
        <f t="shared" si="1"/>
        <v>2</v>
      </c>
      <c r="E11" s="245">
        <f>D11*C11</f>
        <v>167279.424</v>
      </c>
      <c r="G11" s="106" t="str">
        <f>L8</f>
        <v>Clinician (Masters)</v>
      </c>
      <c r="H11" s="107">
        <f>M8</f>
        <v>83639.712</v>
      </c>
      <c r="I11" s="108">
        <f>M19</f>
        <v>2</v>
      </c>
      <c r="J11" s="241">
        <f>I11*H11</f>
        <v>167279.424</v>
      </c>
      <c r="L11" s="90" t="s">
        <v>261</v>
      </c>
      <c r="M11" s="91">
        <f>'M2023 BLS SALARY CHART (53rd)'!C6</f>
        <v>43247.567999999999</v>
      </c>
      <c r="N11" s="92" t="s">
        <v>223</v>
      </c>
      <c r="O11" s="244"/>
    </row>
    <row r="12" spans="2:15">
      <c r="B12" s="242" t="s">
        <v>232</v>
      </c>
      <c r="C12" s="102"/>
      <c r="D12" s="103"/>
      <c r="E12" s="240"/>
      <c r="G12" s="106" t="str">
        <f>L9</f>
        <v>Clinician (LPHA)</v>
      </c>
      <c r="H12" s="107">
        <f>M9</f>
        <v>73170.656000000003</v>
      </c>
      <c r="I12" s="108">
        <f>M20</f>
        <v>2</v>
      </c>
      <c r="J12" s="246">
        <f>I12*H12</f>
        <v>146341.31200000001</v>
      </c>
      <c r="L12" s="90" t="s">
        <v>235</v>
      </c>
      <c r="M12" s="91">
        <f>M11</f>
        <v>43247.567999999999</v>
      </c>
      <c r="N12" s="92" t="s">
        <v>223</v>
      </c>
      <c r="O12" s="244"/>
    </row>
    <row r="13" spans="2:15">
      <c r="B13" s="101" t="s">
        <v>261</v>
      </c>
      <c r="C13" s="102">
        <f>M11</f>
        <v>43247.567999999999</v>
      </c>
      <c r="D13" s="103">
        <f>M21</f>
        <v>1</v>
      </c>
      <c r="E13" s="240">
        <f>D13*C13</f>
        <v>43247.567999999999</v>
      </c>
      <c r="G13" s="243" t="s">
        <v>232</v>
      </c>
      <c r="H13" s="107"/>
      <c r="I13" s="108"/>
      <c r="J13" s="241"/>
      <c r="L13" s="117" t="s">
        <v>234</v>
      </c>
      <c r="M13" s="118">
        <f>M12</f>
        <v>43247.567999999999</v>
      </c>
      <c r="N13" s="92" t="s">
        <v>223</v>
      </c>
      <c r="O13" s="244"/>
    </row>
    <row r="14" spans="2:15">
      <c r="B14" s="101" t="s">
        <v>235</v>
      </c>
      <c r="C14" s="102">
        <f>M12</f>
        <v>43247.567999999999</v>
      </c>
      <c r="D14" s="103">
        <f t="shared" ref="D14:D16" si="2">M22</f>
        <v>1</v>
      </c>
      <c r="E14" s="240">
        <f>D14*C14</f>
        <v>43247.567999999999</v>
      </c>
      <c r="G14" s="106" t="s">
        <v>229</v>
      </c>
      <c r="H14" s="107">
        <f>M10</f>
        <v>56217.241600000001</v>
      </c>
      <c r="I14" s="108">
        <v>2</v>
      </c>
      <c r="J14" s="241">
        <f>I14*H14</f>
        <v>112434.4832</v>
      </c>
      <c r="L14" s="776" t="s">
        <v>236</v>
      </c>
      <c r="M14" s="777"/>
      <c r="N14" s="247"/>
      <c r="O14" s="244"/>
    </row>
    <row r="15" spans="2:15">
      <c r="B15" s="101" t="s">
        <v>237</v>
      </c>
      <c r="C15" s="102">
        <f>M10</f>
        <v>56217.241600000001</v>
      </c>
      <c r="D15" s="103">
        <v>1.5</v>
      </c>
      <c r="E15" s="240">
        <f>D15*C15</f>
        <v>84325.862399999998</v>
      </c>
      <c r="G15" s="106" t="s">
        <v>261</v>
      </c>
      <c r="H15" s="107">
        <f>C13</f>
        <v>43247.567999999999</v>
      </c>
      <c r="I15" s="108">
        <f>D13</f>
        <v>1</v>
      </c>
      <c r="J15" s="241">
        <f>I15*H15</f>
        <v>43247.567999999999</v>
      </c>
      <c r="L15" s="248" t="str">
        <f>L4</f>
        <v>Team Leader (LPHA)</v>
      </c>
      <c r="M15" s="249">
        <v>1</v>
      </c>
      <c r="N15" s="92" t="s">
        <v>238</v>
      </c>
    </row>
    <row r="16" spans="2:15">
      <c r="B16" s="101" t="s">
        <v>234</v>
      </c>
      <c r="C16" s="102">
        <f>M13</f>
        <v>43247.567999999999</v>
      </c>
      <c r="D16" s="103">
        <f t="shared" si="2"/>
        <v>1</v>
      </c>
      <c r="E16" s="240">
        <f>D16*C16</f>
        <v>43247.567999999999</v>
      </c>
      <c r="G16" s="106" t="s">
        <v>235</v>
      </c>
      <c r="H16" s="107">
        <f>C14</f>
        <v>43247.567999999999</v>
      </c>
      <c r="I16" s="108">
        <f>D14</f>
        <v>1</v>
      </c>
      <c r="J16" s="241">
        <f>I16*H16</f>
        <v>43247.567999999999</v>
      </c>
      <c r="L16" s="248" t="str">
        <f>L5</f>
        <v>Program Functional Manager</v>
      </c>
      <c r="M16" s="249">
        <v>0.05</v>
      </c>
      <c r="N16" s="92" t="s">
        <v>238</v>
      </c>
    </row>
    <row r="17" spans="2:22">
      <c r="B17" s="250" t="s">
        <v>239</v>
      </c>
      <c r="C17" s="251"/>
      <c r="D17" s="252">
        <f>SUM(D6:D16)</f>
        <v>11.19</v>
      </c>
      <c r="E17" s="253">
        <f>SUM(E6:E16)</f>
        <v>938071.99999999988</v>
      </c>
      <c r="G17" s="153" t="s">
        <v>234</v>
      </c>
      <c r="H17" s="254">
        <f>C16</f>
        <v>43247.567999999999</v>
      </c>
      <c r="I17" s="255">
        <f>D16</f>
        <v>1</v>
      </c>
      <c r="J17" s="256">
        <f>I17*H17</f>
        <v>43247.567999999999</v>
      </c>
      <c r="L17" s="248" t="str">
        <f>L6</f>
        <v>Psychiatrist</v>
      </c>
      <c r="M17" s="249">
        <v>0.64</v>
      </c>
      <c r="N17" s="92" t="s">
        <v>238</v>
      </c>
    </row>
    <row r="18" spans="2:22">
      <c r="B18" s="127"/>
      <c r="C18" s="257"/>
      <c r="D18" s="257"/>
      <c r="E18" s="240"/>
      <c r="G18" s="147"/>
      <c r="H18" s="220"/>
      <c r="I18" s="220"/>
      <c r="J18" s="241"/>
      <c r="L18" s="248" t="str">
        <f>L7</f>
        <v xml:space="preserve">Registered Nurse (RN) </v>
      </c>
      <c r="M18" s="249">
        <v>3</v>
      </c>
      <c r="N18" s="92" t="s">
        <v>238</v>
      </c>
    </row>
    <row r="19" spans="2:22">
      <c r="B19" s="258" t="s">
        <v>240</v>
      </c>
      <c r="C19" s="259"/>
      <c r="D19" s="260">
        <f>D17</f>
        <v>11.19</v>
      </c>
      <c r="E19" s="261">
        <f>E17</f>
        <v>938071.99999999988</v>
      </c>
      <c r="G19" s="262" t="s">
        <v>240</v>
      </c>
      <c r="H19" s="263"/>
      <c r="I19" s="264">
        <f>SUM(I6:I17)</f>
        <v>13.69</v>
      </c>
      <c r="J19" s="265">
        <f>SUM(J6:J17)</f>
        <v>1112521.9328000001</v>
      </c>
      <c r="L19" s="248" t="str">
        <f>L8</f>
        <v>Clinician (Masters)</v>
      </c>
      <c r="M19" s="249">
        <v>2</v>
      </c>
      <c r="N19" s="92" t="s">
        <v>238</v>
      </c>
    </row>
    <row r="20" spans="2:22">
      <c r="B20" s="127"/>
      <c r="C20" s="139"/>
      <c r="D20" s="139"/>
      <c r="E20" s="140"/>
      <c r="G20" s="147"/>
      <c r="J20" s="121"/>
      <c r="L20" s="248" t="s">
        <v>260</v>
      </c>
      <c r="M20" s="249">
        <v>2</v>
      </c>
      <c r="N20" s="92" t="s">
        <v>238</v>
      </c>
    </row>
    <row r="21" spans="2:22" ht="18" customHeight="1">
      <c r="B21" s="127" t="s">
        <v>241</v>
      </c>
      <c r="C21" s="139"/>
      <c r="D21" s="144">
        <v>0.21709999999999999</v>
      </c>
      <c r="E21" s="266">
        <f>D21*E17</f>
        <v>203655.43119999996</v>
      </c>
      <c r="G21" s="147" t="s">
        <v>241</v>
      </c>
      <c r="I21" s="267">
        <f>M26</f>
        <v>0.24970000000000001</v>
      </c>
      <c r="J21" s="149">
        <f>J19*I21</f>
        <v>277796.72662016004</v>
      </c>
      <c r="L21" s="248" t="str">
        <f>L11</f>
        <v xml:space="preserve">Resource Specialist </v>
      </c>
      <c r="M21" s="249">
        <v>1</v>
      </c>
      <c r="N21" s="92" t="s">
        <v>238</v>
      </c>
      <c r="U21" s="70"/>
      <c r="V21" s="70"/>
    </row>
    <row r="22" spans="2:22">
      <c r="B22" s="127"/>
      <c r="C22" s="139"/>
      <c r="D22" s="139"/>
      <c r="E22" s="145"/>
      <c r="G22" s="147"/>
      <c r="I22" s="268"/>
      <c r="J22" s="149"/>
      <c r="L22" s="147" t="str">
        <f>L12</f>
        <v>Peer Support Specialist</v>
      </c>
      <c r="M22" s="269">
        <v>1</v>
      </c>
      <c r="N22" s="92" t="s">
        <v>238</v>
      </c>
      <c r="U22" s="70"/>
      <c r="V22" s="70"/>
    </row>
    <row r="23" spans="2:22">
      <c r="B23" s="258" t="s">
        <v>242</v>
      </c>
      <c r="C23" s="133"/>
      <c r="D23" s="133"/>
      <c r="E23" s="270">
        <f>E19+E21</f>
        <v>1141727.4311999998</v>
      </c>
      <c r="G23" s="262" t="s">
        <v>242</v>
      </c>
      <c r="H23" s="151"/>
      <c r="I23" s="151"/>
      <c r="J23" s="271">
        <f>SUM(J19:J22)</f>
        <v>1390318.6594201601</v>
      </c>
      <c r="L23" s="147" t="str">
        <f>L10</f>
        <v>Direct Care III (Bachelors)</v>
      </c>
      <c r="M23" s="269">
        <v>2</v>
      </c>
      <c r="N23" s="92" t="s">
        <v>238</v>
      </c>
      <c r="U23" s="70"/>
      <c r="V23" s="70"/>
    </row>
    <row r="24" spans="2:22">
      <c r="B24" s="272"/>
      <c r="C24" s="139"/>
      <c r="D24" s="257" t="s">
        <v>243</v>
      </c>
      <c r="E24" s="266"/>
      <c r="G24" s="273"/>
      <c r="I24" s="220" t="s">
        <v>243</v>
      </c>
      <c r="J24" s="274"/>
      <c r="L24" s="174" t="str">
        <f t="shared" ref="L24" si="3">L13</f>
        <v>Program Support (Admin)</v>
      </c>
      <c r="M24" s="275">
        <v>1</v>
      </c>
      <c r="N24" s="276" t="s">
        <v>238</v>
      </c>
      <c r="U24" s="70"/>
      <c r="V24" s="70"/>
    </row>
    <row r="25" spans="2:22">
      <c r="B25" s="127" t="str">
        <f>L27</f>
        <v>Occupancy (per FTE)</v>
      </c>
      <c r="C25" s="139"/>
      <c r="D25" s="277">
        <f>M27</f>
        <v>9875.1023999999998</v>
      </c>
      <c r="E25" s="158">
        <f>D25*D19</f>
        <v>110502.39585599999</v>
      </c>
      <c r="G25" s="147" t="str">
        <f>B25</f>
        <v>Occupancy (per FTE)</v>
      </c>
      <c r="I25" s="278">
        <f>D25</f>
        <v>9875.1023999999998</v>
      </c>
      <c r="J25" s="160">
        <f>I25*I19</f>
        <v>135190.15185599998</v>
      </c>
      <c r="L25" s="805" t="s">
        <v>244</v>
      </c>
      <c r="M25" s="806"/>
      <c r="N25" s="247"/>
      <c r="U25" s="70"/>
      <c r="V25" s="70"/>
    </row>
    <row r="26" spans="2:22">
      <c r="B26" s="127" t="str">
        <f>L28</f>
        <v>Other Program Expenses (per FTE)*</v>
      </c>
      <c r="C26" s="139"/>
      <c r="D26" s="279">
        <f>M28</f>
        <v>3199.5414000000001</v>
      </c>
      <c r="E26" s="158">
        <f>D26*D19</f>
        <v>35802.868265999998</v>
      </c>
      <c r="G26" s="147" t="str">
        <f>B26</f>
        <v>Other Program Expenses (per FTE)*</v>
      </c>
      <c r="I26" s="278">
        <f>D26</f>
        <v>3199.5414000000001</v>
      </c>
      <c r="J26" s="160">
        <f>I26*I19</f>
        <v>43801.721766000002</v>
      </c>
      <c r="L26" s="161" t="s">
        <v>245</v>
      </c>
      <c r="M26" s="280">
        <f>'PACT 50 Rate Budget'!M25</f>
        <v>0.24970000000000001</v>
      </c>
      <c r="N26" s="92" t="s">
        <v>464</v>
      </c>
      <c r="U26" s="70"/>
      <c r="V26" s="70"/>
    </row>
    <row r="27" spans="2:22">
      <c r="B27" s="258" t="s">
        <v>247</v>
      </c>
      <c r="C27" s="133"/>
      <c r="D27" s="133"/>
      <c r="E27" s="270">
        <f>SUM(E23:E26)</f>
        <v>1288032.6953219997</v>
      </c>
      <c r="G27" s="147"/>
      <c r="I27" s="105"/>
      <c r="J27" s="160"/>
      <c r="L27" s="161" t="s">
        <v>246</v>
      </c>
      <c r="M27" s="281">
        <f>'PACT 50 Rate Budget'!M26</f>
        <v>9875.1023999999998</v>
      </c>
      <c r="N27" s="92" t="str">
        <f>'PACT 50 Rate Budget'!N26</f>
        <v>Prior rate w/ CAF applied</v>
      </c>
      <c r="U27" s="70"/>
      <c r="V27" s="70"/>
    </row>
    <row r="28" spans="2:22">
      <c r="B28" s="282"/>
      <c r="C28" s="94"/>
      <c r="D28" s="94"/>
      <c r="E28" s="167"/>
      <c r="G28" s="262" t="s">
        <v>247</v>
      </c>
      <c r="H28" s="151"/>
      <c r="I28" s="151"/>
      <c r="J28" s="271">
        <f>SUM(J23:J26)</f>
        <v>1569310.5330421601</v>
      </c>
      <c r="L28" s="165" t="s">
        <v>248</v>
      </c>
      <c r="M28" s="163">
        <f>'PACT 50 Rate Budget'!M27</f>
        <v>3199.5414000000001</v>
      </c>
      <c r="N28" s="92" t="str">
        <f>'PACT 50 Rate Budget'!N27</f>
        <v>Prior rate w/ CAF applied</v>
      </c>
      <c r="U28" s="70"/>
      <c r="V28" s="70"/>
    </row>
    <row r="29" spans="2:22" ht="13.5" thickBot="1">
      <c r="B29" s="127" t="s">
        <v>249</v>
      </c>
      <c r="C29" s="139"/>
      <c r="D29" s="144">
        <f>M29</f>
        <v>0.12</v>
      </c>
      <c r="E29" s="145">
        <f>D29*E27</f>
        <v>154563.92343863996</v>
      </c>
      <c r="G29" s="168" t="s">
        <v>249</v>
      </c>
      <c r="H29" s="169"/>
      <c r="I29" s="170">
        <f>D29</f>
        <v>0.12</v>
      </c>
      <c r="J29" s="171">
        <f>J28*I29</f>
        <v>188317.26396505922</v>
      </c>
      <c r="L29" s="172" t="s">
        <v>250</v>
      </c>
      <c r="M29" s="173">
        <f>'[19]M2021 BLS  SALARY CHART'!D41</f>
        <v>0.12</v>
      </c>
      <c r="N29" s="92" t="str">
        <f>'PACT 50 Rate Budget'!N28</f>
        <v>C.257 Benchmark</v>
      </c>
      <c r="U29" s="70"/>
      <c r="V29" s="70"/>
    </row>
    <row r="30" spans="2:22" ht="13.5" thickTop="1">
      <c r="B30" s="283" t="s">
        <v>252</v>
      </c>
      <c r="C30" s="179"/>
      <c r="D30" s="180"/>
      <c r="E30" s="284">
        <f>E29+E27</f>
        <v>1442596.6187606398</v>
      </c>
      <c r="G30" s="285" t="s">
        <v>251</v>
      </c>
      <c r="H30" s="175"/>
      <c r="I30" s="176"/>
      <c r="J30" s="286">
        <f>J29+J28</f>
        <v>1757627.7970072194</v>
      </c>
      <c r="L30" s="172"/>
      <c r="M30" s="173"/>
      <c r="N30" s="92"/>
      <c r="U30" s="70"/>
      <c r="V30" s="70"/>
    </row>
    <row r="31" spans="2:22" ht="13.5" thickBot="1">
      <c r="B31" s="187" t="s">
        <v>254</v>
      </c>
      <c r="C31" s="139"/>
      <c r="D31" s="144">
        <f>M30</f>
        <v>0</v>
      </c>
      <c r="E31" s="158">
        <f>E30*D31</f>
        <v>0</v>
      </c>
      <c r="G31" s="287" t="str">
        <f>L33</f>
        <v>CAF FY26</v>
      </c>
      <c r="H31" s="288"/>
      <c r="I31" s="289">
        <f>M33</f>
        <v>3.2549514448865162E-2</v>
      </c>
      <c r="J31" s="290">
        <f>(J28)*I31</f>
        <v>51080.29587001208</v>
      </c>
      <c r="L31" s="184" t="s">
        <v>253</v>
      </c>
      <c r="M31" s="185">
        <v>0.98</v>
      </c>
      <c r="N31" s="186" t="s">
        <v>238</v>
      </c>
      <c r="U31" s="70"/>
      <c r="V31" s="70"/>
    </row>
    <row r="32" spans="2:22" ht="13.5" thickBot="1">
      <c r="B32" s="283" t="s">
        <v>256</v>
      </c>
      <c r="C32" s="179"/>
      <c r="D32" s="179"/>
      <c r="E32" s="284">
        <f>E31+E30</f>
        <v>1442596.6187606398</v>
      </c>
      <c r="G32" s="174" t="s">
        <v>255</v>
      </c>
      <c r="H32" s="175"/>
      <c r="I32" s="175"/>
      <c r="J32" s="286">
        <f>J31+J30</f>
        <v>1808708.0928772315</v>
      </c>
      <c r="L32" s="191"/>
      <c r="M32" s="192"/>
      <c r="N32" s="193"/>
      <c r="U32" s="70"/>
      <c r="V32" s="70"/>
    </row>
    <row r="33" spans="2:22" ht="13.5" thickBot="1">
      <c r="B33" s="291" t="s">
        <v>257</v>
      </c>
      <c r="C33" s="200"/>
      <c r="D33" s="201"/>
      <c r="E33" s="202">
        <f>E32/E3</f>
        <v>49.403993793172596</v>
      </c>
      <c r="G33" s="70" t="s">
        <v>257</v>
      </c>
      <c r="H33" s="288"/>
      <c r="I33" s="289"/>
      <c r="J33" s="292">
        <f>J32/J3</f>
        <v>61.942057975247657</v>
      </c>
      <c r="L33" s="293" t="str">
        <f>'PACT 50 Rate Budget'!L32</f>
        <v>CAF FY26</v>
      </c>
      <c r="M33" s="192">
        <f>'PACT 50 Rate Budget'!M32</f>
        <v>3.2549514448865162E-2</v>
      </c>
      <c r="N33" s="193" t="str">
        <f>'PACT 50 Rate Budget'!N32</f>
        <v>Prospective Period FY26 &amp; FY27</v>
      </c>
      <c r="U33" s="70"/>
      <c r="V33" s="70"/>
    </row>
    <row r="34" spans="2:22" ht="13.5" thickBot="1">
      <c r="B34" s="210" t="s">
        <v>258</v>
      </c>
      <c r="C34" s="212">
        <f>M31</f>
        <v>0.98</v>
      </c>
      <c r="D34" s="294"/>
      <c r="E34" s="295">
        <f>E33/C34</f>
        <v>50.41223856446183</v>
      </c>
      <c r="G34" s="296" t="s">
        <v>258</v>
      </c>
      <c r="H34" s="297">
        <f>M31</f>
        <v>0.98</v>
      </c>
      <c r="I34" s="298"/>
      <c r="J34" s="299">
        <f>J33/H34</f>
        <v>63.206181607395571</v>
      </c>
      <c r="L34" s="207"/>
      <c r="M34" s="208"/>
      <c r="N34" s="209"/>
      <c r="U34" s="70"/>
      <c r="V34" s="70"/>
    </row>
    <row r="35" spans="2:22">
      <c r="H35" s="216"/>
      <c r="I35" s="217"/>
      <c r="J35" s="738"/>
      <c r="L35" s="216"/>
      <c r="M35" s="217"/>
      <c r="N35" s="218"/>
      <c r="U35" s="70"/>
      <c r="V35" s="70"/>
    </row>
    <row r="36" spans="2:22">
      <c r="H36" s="216"/>
      <c r="I36" s="217"/>
      <c r="J36" s="739"/>
      <c r="Q36" s="99"/>
      <c r="R36" s="99"/>
      <c r="U36" s="70"/>
      <c r="V36" s="70"/>
    </row>
    <row r="38" spans="2:22">
      <c r="H38" s="99"/>
      <c r="I38" s="99"/>
    </row>
    <row r="39" spans="2:22">
      <c r="G39" s="300"/>
      <c r="H39" s="301"/>
      <c r="I39" s="302"/>
      <c r="L39" s="796"/>
      <c r="M39" s="797"/>
      <c r="N39" s="798"/>
    </row>
    <row r="40" spans="2:22">
      <c r="G40" s="300"/>
      <c r="H40" s="301"/>
      <c r="I40" s="302"/>
      <c r="L40" s="799"/>
      <c r="M40" s="800"/>
      <c r="N40" s="801"/>
    </row>
    <row r="41" spans="2:22">
      <c r="G41" s="303"/>
      <c r="H41" s="301"/>
      <c r="I41" s="302"/>
      <c r="L41" s="802"/>
      <c r="M41" s="803"/>
      <c r="N41" s="804"/>
    </row>
    <row r="42" spans="2:22">
      <c r="G42" s="300"/>
      <c r="H42" s="301"/>
      <c r="I42" s="302"/>
      <c r="L42" s="304"/>
    </row>
    <row r="43" spans="2:22">
      <c r="G43" s="300"/>
      <c r="H43" s="301"/>
      <c r="I43" s="302"/>
      <c r="L43" s="305"/>
    </row>
    <row r="44" spans="2:22">
      <c r="G44" s="300"/>
      <c r="H44" s="301"/>
      <c r="I44" s="302"/>
    </row>
    <row r="45" spans="2:22">
      <c r="G45" s="303"/>
      <c r="H45" s="301"/>
      <c r="I45" s="302"/>
    </row>
    <row r="46" spans="2:22">
      <c r="G46" s="300"/>
      <c r="H46" s="301"/>
      <c r="I46" s="302"/>
    </row>
    <row r="47" spans="2:22">
      <c r="G47" s="300"/>
      <c r="H47" s="301"/>
      <c r="I47" s="302"/>
    </row>
    <row r="48" spans="2:22">
      <c r="G48" s="300"/>
      <c r="H48" s="301"/>
      <c r="I48" s="302"/>
    </row>
    <row r="49" spans="7:9">
      <c r="G49" s="300"/>
      <c r="H49" s="301"/>
      <c r="I49" s="302"/>
    </row>
  </sheetData>
  <mergeCells count="7">
    <mergeCell ref="L39:N41"/>
    <mergeCell ref="B2:E2"/>
    <mergeCell ref="G2:J2"/>
    <mergeCell ref="L2:N2"/>
    <mergeCell ref="L3:M3"/>
    <mergeCell ref="L14:M14"/>
    <mergeCell ref="L25:M25"/>
  </mergeCells>
  <pageMargins left="0.7" right="0.7" top="0.75" bottom="0.75" header="0.3" footer="0.3"/>
  <pageSetup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1617-DBF7-461C-A791-448696C2190A}">
  <sheetPr>
    <pageSetUpPr fitToPage="1"/>
  </sheetPr>
  <dimension ref="A1:P392"/>
  <sheetViews>
    <sheetView topLeftCell="G1" zoomScaleNormal="100" workbookViewId="0">
      <selection activeCell="N37" sqref="N37"/>
    </sheetView>
  </sheetViews>
  <sheetFormatPr defaultColWidth="9.140625" defaultRowHeight="12.75"/>
  <cols>
    <col min="1" max="1" width="4.28515625" style="507" hidden="1" customWidth="1"/>
    <col min="2" max="2" width="25.28515625" style="507" hidden="1" customWidth="1"/>
    <col min="3" max="3" width="12.42578125" style="507" hidden="1" customWidth="1"/>
    <col min="4" max="4" width="13.140625" style="507" hidden="1" customWidth="1"/>
    <col min="5" max="5" width="12.28515625" style="507" hidden="1" customWidth="1"/>
    <col min="6" max="6" width="6.140625" style="70" hidden="1" customWidth="1"/>
    <col min="7" max="7" width="25.28515625" style="70" customWidth="1"/>
    <col min="8" max="8" width="12.42578125" style="70" customWidth="1"/>
    <col min="9" max="9" width="13.140625" style="70" customWidth="1"/>
    <col min="10" max="10" width="13.28515625" style="70" customWidth="1"/>
    <col min="11" max="11" width="6.140625" style="70" customWidth="1"/>
    <col min="12" max="12" width="29" style="70" customWidth="1"/>
    <col min="13" max="13" width="11" style="70" customWidth="1"/>
    <col min="14" max="14" width="71" style="70" customWidth="1"/>
    <col min="15" max="15" width="13" style="70" customWidth="1"/>
    <col min="16" max="16384" width="9.140625" style="70"/>
  </cols>
  <sheetData>
    <row r="1" spans="1:16" ht="13.5" thickBot="1">
      <c r="A1" s="70"/>
      <c r="B1" s="70"/>
      <c r="C1" s="70"/>
      <c r="D1" s="70"/>
      <c r="E1" s="70"/>
      <c r="G1" s="71"/>
    </row>
    <row r="2" spans="1:16" ht="13.5" thickBot="1">
      <c r="A2" s="354"/>
      <c r="B2" s="807" t="s">
        <v>269</v>
      </c>
      <c r="C2" s="808"/>
      <c r="D2" s="808"/>
      <c r="E2" s="809"/>
      <c r="G2" s="810" t="s">
        <v>477</v>
      </c>
      <c r="H2" s="811"/>
      <c r="I2" s="811"/>
      <c r="J2" s="812"/>
      <c r="L2" s="771" t="s">
        <v>478</v>
      </c>
      <c r="M2" s="772"/>
      <c r="N2" s="773"/>
    </row>
    <row r="3" spans="1:16">
      <c r="A3" s="355"/>
      <c r="B3" s="356" t="s">
        <v>270</v>
      </c>
      <c r="C3" s="357">
        <v>5</v>
      </c>
      <c r="D3" s="358" t="s">
        <v>271</v>
      </c>
      <c r="E3" s="359">
        <f>C3*365</f>
        <v>1825</v>
      </c>
      <c r="G3" s="360" t="s">
        <v>270</v>
      </c>
      <c r="H3" s="361">
        <v>5</v>
      </c>
      <c r="I3" s="362" t="s">
        <v>271</v>
      </c>
      <c r="J3" s="363">
        <f>H3*365</f>
        <v>1825</v>
      </c>
      <c r="L3" s="774" t="s">
        <v>217</v>
      </c>
      <c r="M3" s="775"/>
      <c r="N3" s="230" t="s">
        <v>218</v>
      </c>
    </row>
    <row r="4" spans="1:16" ht="13.5" thickBot="1">
      <c r="A4" s="355"/>
      <c r="B4" s="364"/>
      <c r="C4" s="365"/>
      <c r="D4" s="365"/>
      <c r="E4" s="366"/>
      <c r="G4" s="367"/>
      <c r="H4" s="368"/>
      <c r="I4" s="368"/>
      <c r="J4" s="369"/>
      <c r="L4" s="370" t="s">
        <v>272</v>
      </c>
      <c r="M4" s="371">
        <f>'M2023 BLS SALARY CHART (53rd)'!C22</f>
        <v>80829.631999999998</v>
      </c>
      <c r="N4" s="92" t="str">
        <f>'Forensic PACT Rate Budget'!N5</f>
        <v>BLS Benchmark</v>
      </c>
    </row>
    <row r="5" spans="1:16">
      <c r="A5" s="355"/>
      <c r="B5" s="372"/>
      <c r="C5" s="373" t="s">
        <v>219</v>
      </c>
      <c r="D5" s="373" t="s">
        <v>220</v>
      </c>
      <c r="E5" s="374" t="s">
        <v>221</v>
      </c>
      <c r="G5" s="375"/>
      <c r="H5" s="376" t="s">
        <v>219</v>
      </c>
      <c r="I5" s="376" t="s">
        <v>220</v>
      </c>
      <c r="J5" s="377" t="s">
        <v>221</v>
      </c>
      <c r="L5" s="370" t="s">
        <v>273</v>
      </c>
      <c r="M5" s="371">
        <f>'M2023 BLS SALARY CHART (53rd)'!C18</f>
        <v>83639.712</v>
      </c>
      <c r="N5" s="92" t="s">
        <v>223</v>
      </c>
    </row>
    <row r="6" spans="1:16">
      <c r="A6" s="355"/>
      <c r="B6" s="291" t="s">
        <v>232</v>
      </c>
      <c r="C6" s="378"/>
      <c r="D6" s="378"/>
      <c r="E6" s="379"/>
      <c r="G6" s="380" t="s">
        <v>232</v>
      </c>
      <c r="H6" s="381"/>
      <c r="I6" s="381"/>
      <c r="J6" s="382" t="b">
        <f>'[19]Forensic GLE Budget (FOIA)'!J6='Forensic GLE Budget'!J7+'Forensic GLE Budget'!J8+'Forensic GLE Budget'!J9+'Forensic GLE Budget'!J10</f>
        <v>0</v>
      </c>
      <c r="L6" s="370" t="s">
        <v>274</v>
      </c>
      <c r="M6" s="371">
        <f>'M2023 BLS SALARY CHART (53rd)'!C6</f>
        <v>43247.567999999999</v>
      </c>
      <c r="N6" s="92" t="s">
        <v>223</v>
      </c>
      <c r="O6" s="383"/>
      <c r="P6" s="353"/>
    </row>
    <row r="7" spans="1:16">
      <c r="A7" s="355"/>
      <c r="B7" s="384" t="s">
        <v>272</v>
      </c>
      <c r="C7" s="385">
        <f>M4</f>
        <v>80829.631999999998</v>
      </c>
      <c r="D7" s="386">
        <f>M9</f>
        <v>0.05</v>
      </c>
      <c r="E7" s="387">
        <f>D7*C7</f>
        <v>4041.4816000000001</v>
      </c>
      <c r="G7" s="370" t="s">
        <v>272</v>
      </c>
      <c r="H7" s="388">
        <f>M4</f>
        <v>80829.631999999998</v>
      </c>
      <c r="I7" s="389">
        <f>M9</f>
        <v>0.05</v>
      </c>
      <c r="J7" s="390">
        <f>I7*H7</f>
        <v>4041.4816000000001</v>
      </c>
      <c r="L7" s="391" t="s">
        <v>275</v>
      </c>
      <c r="M7" s="371">
        <f>M6</f>
        <v>43247.567999999999</v>
      </c>
      <c r="N7" s="92" t="s">
        <v>223</v>
      </c>
    </row>
    <row r="8" spans="1:16">
      <c r="A8" s="355"/>
      <c r="B8" s="384" t="s">
        <v>273</v>
      </c>
      <c r="C8" s="385">
        <f>M5</f>
        <v>83639.712</v>
      </c>
      <c r="D8" s="386">
        <f t="shared" ref="D8:D10" si="0">M10</f>
        <v>1</v>
      </c>
      <c r="E8" s="387">
        <f>D8*C8</f>
        <v>83639.712</v>
      </c>
      <c r="G8" s="392" t="s">
        <v>273</v>
      </c>
      <c r="H8" s="393">
        <f t="shared" ref="H8" si="1">M5</f>
        <v>83639.712</v>
      </c>
      <c r="I8" s="394">
        <f t="shared" ref="I8" si="2">M10</f>
        <v>1</v>
      </c>
      <c r="J8" s="395">
        <f>I8*H8</f>
        <v>83639.712</v>
      </c>
      <c r="L8" s="805" t="s">
        <v>236</v>
      </c>
      <c r="M8" s="806"/>
      <c r="N8" s="119"/>
    </row>
    <row r="9" spans="1:16">
      <c r="A9" s="355"/>
      <c r="B9" s="384" t="s">
        <v>276</v>
      </c>
      <c r="C9" s="385" t="e">
        <f>#REF!</f>
        <v>#REF!</v>
      </c>
      <c r="D9" s="386">
        <f t="shared" si="0"/>
        <v>7</v>
      </c>
      <c r="E9" s="387" t="e">
        <f>D9*C9</f>
        <v>#REF!</v>
      </c>
      <c r="G9" s="392" t="str">
        <f>L6</f>
        <v xml:space="preserve">Direct Care   </v>
      </c>
      <c r="H9" s="393">
        <f>M6</f>
        <v>43247.567999999999</v>
      </c>
      <c r="I9" s="394">
        <f>M11</f>
        <v>7</v>
      </c>
      <c r="J9" s="395">
        <f>H9*I9</f>
        <v>302732.97600000002</v>
      </c>
      <c r="L9" s="106" t="str">
        <f>L4</f>
        <v>Management Supervision</v>
      </c>
      <c r="M9" s="396">
        <v>0.05</v>
      </c>
      <c r="N9" s="92" t="s">
        <v>277</v>
      </c>
    </row>
    <row r="10" spans="1:16">
      <c r="A10" s="355"/>
      <c r="B10" s="397" t="s">
        <v>275</v>
      </c>
      <c r="C10" s="398">
        <f>M7</f>
        <v>43247.567999999999</v>
      </c>
      <c r="D10" s="399">
        <f t="shared" si="0"/>
        <v>1.08</v>
      </c>
      <c r="E10" s="400">
        <f>D10*C10</f>
        <v>46707.373440000003</v>
      </c>
      <c r="G10" s="401" t="s">
        <v>275</v>
      </c>
      <c r="H10" s="402">
        <f>M7</f>
        <v>43247.567999999999</v>
      </c>
      <c r="I10" s="403">
        <f>I9*15.4%</f>
        <v>1.0780000000000001</v>
      </c>
      <c r="J10" s="404">
        <f>I10*H10</f>
        <v>46620.878304000005</v>
      </c>
      <c r="L10" s="106" t="str">
        <f>L5</f>
        <v>Site Manager</v>
      </c>
      <c r="M10" s="396">
        <v>1</v>
      </c>
      <c r="N10" s="92" t="s">
        <v>277</v>
      </c>
    </row>
    <row r="11" spans="1:16">
      <c r="A11" s="355"/>
      <c r="B11" s="405" t="s">
        <v>239</v>
      </c>
      <c r="C11" s="406" t="e">
        <f>SUM(C7:C10)</f>
        <v>#REF!</v>
      </c>
      <c r="D11" s="407">
        <v>9.2769230769230759</v>
      </c>
      <c r="E11" s="408" t="e">
        <f>SUM(E7:E10)</f>
        <v>#REF!</v>
      </c>
      <c r="G11" s="401"/>
      <c r="H11" s="409"/>
      <c r="I11" s="410"/>
      <c r="J11" s="404"/>
      <c r="L11" s="106" t="s">
        <v>274</v>
      </c>
      <c r="M11" s="396">
        <v>7</v>
      </c>
      <c r="N11" s="92" t="s">
        <v>277</v>
      </c>
    </row>
    <row r="12" spans="1:16">
      <c r="A12" s="411"/>
      <c r="B12" s="364"/>
      <c r="C12" s="365"/>
      <c r="D12" s="412"/>
      <c r="E12" s="413"/>
      <c r="G12" s="414" t="s">
        <v>240</v>
      </c>
      <c r="H12" s="415"/>
      <c r="I12" s="416">
        <f>SUM(I7:I10)</f>
        <v>9.1280000000000001</v>
      </c>
      <c r="J12" s="417">
        <f>SUM(J7:J10)</f>
        <v>437035.04790400004</v>
      </c>
      <c r="L12" s="106" t="str">
        <f t="shared" ref="L12" si="3">L7</f>
        <v>Relief</v>
      </c>
      <c r="M12" s="396">
        <v>1.08</v>
      </c>
      <c r="N12" s="92" t="s">
        <v>277</v>
      </c>
    </row>
    <row r="13" spans="1:16">
      <c r="A13" s="418"/>
      <c r="B13" s="364" t="s">
        <v>278</v>
      </c>
      <c r="C13" s="419">
        <v>0.21709999999999999</v>
      </c>
      <c r="D13" s="412"/>
      <c r="E13" s="420" t="e">
        <f>C13*E11</f>
        <v>#REF!</v>
      </c>
      <c r="G13" s="421"/>
      <c r="H13" s="422"/>
      <c r="I13" s="423"/>
      <c r="J13" s="424"/>
      <c r="L13" s="778" t="s">
        <v>279</v>
      </c>
      <c r="M13" s="779"/>
      <c r="N13" s="119"/>
    </row>
    <row r="14" spans="1:16">
      <c r="A14" s="418"/>
      <c r="B14" s="364"/>
      <c r="C14" s="365"/>
      <c r="D14" s="425"/>
      <c r="E14" s="426"/>
      <c r="G14" s="421" t="s">
        <v>278</v>
      </c>
      <c r="H14" s="427"/>
      <c r="I14" s="428">
        <f>M14</f>
        <v>0.24970000000000001</v>
      </c>
      <c r="J14" s="429">
        <f>J12*I14</f>
        <v>109127.6514616288</v>
      </c>
      <c r="L14" s="161" t="s">
        <v>245</v>
      </c>
      <c r="M14" s="280">
        <f>'Forensic PACT Rate Budget'!I20</f>
        <v>0.24970000000000001</v>
      </c>
      <c r="N14" s="92" t="s">
        <v>464</v>
      </c>
    </row>
    <row r="15" spans="1:16">
      <c r="A15" s="418"/>
      <c r="B15" s="430" t="s">
        <v>280</v>
      </c>
      <c r="C15" s="431"/>
      <c r="D15" s="432"/>
      <c r="E15" s="433" t="e">
        <f>E11+E13</f>
        <v>#REF!</v>
      </c>
      <c r="G15" s="421"/>
      <c r="H15" s="422"/>
      <c r="I15" s="428"/>
      <c r="J15" s="160"/>
      <c r="L15" s="434" t="s">
        <v>281</v>
      </c>
      <c r="M15" s="435">
        <v>22619.200000000001</v>
      </c>
      <c r="N15" s="92" t="s">
        <v>282</v>
      </c>
    </row>
    <row r="16" spans="1:16" ht="18.95" customHeight="1">
      <c r="A16" s="418"/>
      <c r="B16" s="436"/>
      <c r="C16" s="437"/>
      <c r="D16" s="438" t="s">
        <v>243</v>
      </c>
      <c r="E16" s="439"/>
      <c r="G16" s="414" t="s">
        <v>242</v>
      </c>
      <c r="H16" s="440"/>
      <c r="I16" s="441"/>
      <c r="J16" s="442">
        <f>J12+J14+J15</f>
        <v>546162.69936562888</v>
      </c>
      <c r="L16" s="421" t="s">
        <v>283</v>
      </c>
      <c r="M16" s="443">
        <f>28.08*(1+2.78%)</f>
        <v>28.860623999999998</v>
      </c>
      <c r="N16" s="164" t="s">
        <v>471</v>
      </c>
    </row>
    <row r="17" spans="1:14">
      <c r="A17" s="418"/>
      <c r="B17" s="199" t="str">
        <f>L15</f>
        <v>Transporation (Van)</v>
      </c>
      <c r="C17" s="365"/>
      <c r="D17" s="444">
        <f>M15</f>
        <v>22619.200000000001</v>
      </c>
      <c r="E17" s="445">
        <f>D17*2</f>
        <v>45238.400000000001</v>
      </c>
      <c r="G17" s="446"/>
      <c r="H17" s="447"/>
      <c r="I17" s="448" t="s">
        <v>243</v>
      </c>
      <c r="J17" s="449"/>
      <c r="L17" s="421" t="s">
        <v>284</v>
      </c>
      <c r="M17" s="450">
        <f>'[20]Food November 2024'!$K$19</f>
        <v>10.130952380952381</v>
      </c>
      <c r="N17" s="92" t="s">
        <v>465</v>
      </c>
    </row>
    <row r="18" spans="1:14">
      <c r="A18" s="418"/>
      <c r="B18" s="364" t="str">
        <f>L16</f>
        <v>Occupancy (per bed day)*</v>
      </c>
      <c r="C18" s="365"/>
      <c r="D18" s="451">
        <f>M16</f>
        <v>28.860623999999998</v>
      </c>
      <c r="E18" s="445">
        <f>D18*E3</f>
        <v>52670.638799999993</v>
      </c>
      <c r="G18" s="452" t="str">
        <f>B17</f>
        <v>Transporation (Van)</v>
      </c>
      <c r="H18" s="422"/>
      <c r="I18" s="453">
        <f>M15</f>
        <v>22619.200000000001</v>
      </c>
      <c r="J18" s="454">
        <f>I18*2</f>
        <v>45238.400000000001</v>
      </c>
      <c r="L18" s="172" t="s">
        <v>250</v>
      </c>
      <c r="M18" s="455">
        <f>'[19]M2021 BLS  SALARY CHART'!D41</f>
        <v>0.12</v>
      </c>
      <c r="N18" s="92" t="str">
        <f>'Forensic PACT Rate Budget'!N27</f>
        <v>C.257 Benchmark</v>
      </c>
    </row>
    <row r="19" spans="1:14">
      <c r="A19" s="418"/>
      <c r="B19" s="364" t="str">
        <f>L17</f>
        <v>Meals (per bed day)</v>
      </c>
      <c r="C19" s="365"/>
      <c r="D19" s="451">
        <f>M17</f>
        <v>10.130952380952381</v>
      </c>
      <c r="E19" s="456">
        <f>D19*E3</f>
        <v>18488.988095238095</v>
      </c>
      <c r="G19" s="457" t="str">
        <f>B18</f>
        <v>Occupancy (per bed day)*</v>
      </c>
      <c r="H19" s="368"/>
      <c r="I19" s="458">
        <f>M16</f>
        <v>28.860623999999998</v>
      </c>
      <c r="J19" s="459">
        <f>I19*J3</f>
        <v>52670.638799999993</v>
      </c>
      <c r="L19" s="172"/>
      <c r="M19" s="460"/>
      <c r="N19" s="92"/>
    </row>
    <row r="20" spans="1:14" ht="13.5" thickBot="1">
      <c r="A20" s="418"/>
      <c r="B20" s="430" t="s">
        <v>285</v>
      </c>
      <c r="C20" s="431"/>
      <c r="D20" s="461"/>
      <c r="E20" s="462" t="e">
        <f>SUM(E15:E19)</f>
        <v>#REF!</v>
      </c>
      <c r="G20" s="457" t="str">
        <f>B19</f>
        <v>Meals (per bed day)</v>
      </c>
      <c r="H20" s="368"/>
      <c r="I20" s="463">
        <f>M17</f>
        <v>10.130952380952381</v>
      </c>
      <c r="J20" s="464">
        <f>I20*J3</f>
        <v>18488.988095238095</v>
      </c>
      <c r="L20" s="184" t="s">
        <v>253</v>
      </c>
      <c r="M20" s="185">
        <v>0.98</v>
      </c>
      <c r="N20" s="186" t="s">
        <v>238</v>
      </c>
    </row>
    <row r="21" spans="1:14" ht="13.5" thickBot="1">
      <c r="A21" s="418"/>
      <c r="B21" s="364"/>
      <c r="C21" s="365"/>
      <c r="D21" s="465"/>
      <c r="E21" s="202"/>
      <c r="G21" s="466"/>
      <c r="H21" s="368"/>
      <c r="I21" s="467"/>
      <c r="J21" s="464"/>
      <c r="L21" s="191"/>
      <c r="M21" s="192"/>
      <c r="N21" s="193"/>
    </row>
    <row r="22" spans="1:14" ht="13.5" thickBot="1">
      <c r="A22" s="418"/>
      <c r="B22" s="364" t="s">
        <v>286</v>
      </c>
      <c r="C22" s="468">
        <f>M18</f>
        <v>0.12</v>
      </c>
      <c r="D22" s="412"/>
      <c r="E22" s="420" t="e">
        <f>C22*E20</f>
        <v>#REF!</v>
      </c>
      <c r="G22" s="469" t="s">
        <v>247</v>
      </c>
      <c r="H22" s="470"/>
      <c r="I22" s="471"/>
      <c r="J22" s="472">
        <f>SUM(J16:J20)</f>
        <v>662560.72626086697</v>
      </c>
      <c r="L22" s="293" t="str">
        <f>'Forensic PACT Rate Budget'!L31</f>
        <v>CAF FY26</v>
      </c>
      <c r="M22" s="473">
        <f>'Forensic PACT Rate Budget'!M31</f>
        <v>3.2549514448865162E-2</v>
      </c>
      <c r="N22" s="293" t="str">
        <f>'PACT 50 Rate Budget'!N32</f>
        <v>Prospective Period FY26 &amp; FY27</v>
      </c>
    </row>
    <row r="23" spans="1:14" ht="13.5" thickBot="1">
      <c r="A23" s="418"/>
      <c r="B23" s="474" t="s">
        <v>287</v>
      </c>
      <c r="C23" s="475"/>
      <c r="D23" s="476"/>
      <c r="E23" s="477" t="e">
        <f>SUM(E20:E22)</f>
        <v>#REF!</v>
      </c>
      <c r="G23" s="478" t="s">
        <v>249</v>
      </c>
      <c r="H23" s="479"/>
      <c r="I23" s="480">
        <f>M18</f>
        <v>0.12</v>
      </c>
      <c r="J23" s="481">
        <f>J22*I23-(J15*I23)</f>
        <v>79507.28715130403</v>
      </c>
      <c r="L23" s="207"/>
      <c r="M23" s="208"/>
      <c r="N23" s="209"/>
    </row>
    <row r="24" spans="1:14" ht="13.5" thickTop="1">
      <c r="A24" s="411"/>
      <c r="B24" s="482" t="s">
        <v>122</v>
      </c>
      <c r="C24" s="483">
        <f>M19</f>
        <v>0</v>
      </c>
      <c r="D24" s="484"/>
      <c r="E24" s="485" t="e">
        <f>E23*(1+C24)</f>
        <v>#REF!</v>
      </c>
      <c r="G24" s="486" t="s">
        <v>251</v>
      </c>
      <c r="H24" s="487"/>
      <c r="I24" s="488"/>
      <c r="J24" s="489">
        <f>SUM(J22:J23)</f>
        <v>742068.01341217104</v>
      </c>
      <c r="L24" s="216"/>
      <c r="M24" s="217"/>
      <c r="N24" s="218"/>
    </row>
    <row r="25" spans="1:14" ht="13.5" thickBot="1">
      <c r="A25" s="411"/>
      <c r="B25" s="364" t="s">
        <v>257</v>
      </c>
      <c r="C25" s="365"/>
      <c r="D25" s="465"/>
      <c r="E25" s="202" t="e">
        <f>E24/E3</f>
        <v>#REF!</v>
      </c>
      <c r="G25" s="490" t="str">
        <f>L22</f>
        <v>CAF FY26</v>
      </c>
      <c r="H25" s="491"/>
      <c r="I25" s="492">
        <f>M22</f>
        <v>3.2549514448865162E-2</v>
      </c>
      <c r="J25" s="493">
        <f>(J22)*I25</f>
        <v>21566.029932678684</v>
      </c>
    </row>
    <row r="26" spans="1:14" ht="13.5" thickBot="1">
      <c r="A26" s="411"/>
      <c r="B26" s="494" t="s">
        <v>258</v>
      </c>
      <c r="C26" s="495">
        <f>M20</f>
        <v>0.98</v>
      </c>
      <c r="D26" s="496"/>
      <c r="E26" s="497" t="e">
        <f>E25/C26</f>
        <v>#REF!</v>
      </c>
      <c r="G26" s="341" t="s">
        <v>255</v>
      </c>
      <c r="H26" s="368"/>
      <c r="I26" s="498"/>
      <c r="J26" s="499">
        <f>J24+J25</f>
        <v>763634.04334484972</v>
      </c>
    </row>
    <row r="27" spans="1:14" ht="13.5" thickBot="1">
      <c r="A27" s="70"/>
      <c r="B27" s="70"/>
      <c r="C27" s="70"/>
      <c r="D27" s="70"/>
      <c r="E27" s="70"/>
      <c r="G27" s="500" t="s">
        <v>257</v>
      </c>
      <c r="H27" s="501"/>
      <c r="I27" s="502"/>
      <c r="J27" s="503">
        <f>J26/J3</f>
        <v>418.4296127916985</v>
      </c>
    </row>
    <row r="28" spans="1:14" ht="13.5" thickBot="1">
      <c r="A28" s="70"/>
      <c r="B28" s="70"/>
      <c r="C28" s="70"/>
      <c r="D28" s="70"/>
      <c r="E28" s="70"/>
      <c r="G28" s="504" t="s">
        <v>258</v>
      </c>
      <c r="H28" s="505">
        <f>M20</f>
        <v>0.98</v>
      </c>
      <c r="I28" s="502"/>
      <c r="J28" s="506">
        <f>J27/H28</f>
        <v>426.96899264459034</v>
      </c>
    </row>
    <row r="29" spans="1:14">
      <c r="A29" s="70"/>
      <c r="B29" s="70"/>
      <c r="C29" s="70"/>
      <c r="D29" s="70"/>
      <c r="E29" s="70"/>
      <c r="J29" s="352"/>
    </row>
    <row r="30" spans="1:14">
      <c r="A30" s="70"/>
      <c r="B30" s="70"/>
      <c r="C30" s="70"/>
      <c r="D30" s="70"/>
      <c r="E30" s="70"/>
      <c r="J30" s="219"/>
    </row>
    <row r="31" spans="1:14" ht="15" customHeight="1">
      <c r="A31" s="70"/>
      <c r="B31" s="70"/>
      <c r="C31" s="70"/>
      <c r="D31" s="70"/>
      <c r="E31" s="70"/>
      <c r="G31" s="106"/>
      <c r="H31" s="301"/>
      <c r="I31" s="302"/>
    </row>
    <row r="32" spans="1:14" ht="14.25" customHeight="1">
      <c r="A32" s="70"/>
      <c r="B32" s="70"/>
      <c r="C32" s="70"/>
      <c r="D32" s="70"/>
      <c r="E32" s="70"/>
      <c r="G32" s="106"/>
      <c r="H32" s="301"/>
      <c r="I32" s="302"/>
    </row>
    <row r="33" spans="14:14" s="70" customFormat="1" ht="15" customHeight="1">
      <c r="N33" s="646"/>
    </row>
    <row r="34" spans="14:14" s="70" customFormat="1" ht="15" customHeight="1">
      <c r="N34" s="646"/>
    </row>
    <row r="35" spans="14:14" s="70" customFormat="1" ht="15" customHeight="1"/>
    <row r="36" spans="14:14" s="70" customFormat="1" ht="15" customHeight="1"/>
    <row r="37" spans="14:14" s="70" customFormat="1" ht="15" customHeight="1"/>
    <row r="38" spans="14:14" s="70" customFormat="1" ht="15" customHeight="1"/>
    <row r="39" spans="14:14" s="70" customFormat="1" ht="15" customHeight="1"/>
    <row r="40" spans="14:14" s="70" customFormat="1" ht="15" customHeight="1"/>
    <row r="41" spans="14:14" s="70" customFormat="1"/>
    <row r="42" spans="14:14" s="70" customFormat="1"/>
    <row r="43" spans="14:14" s="70" customFormat="1"/>
    <row r="44" spans="14:14" s="70" customFormat="1"/>
    <row r="45" spans="14:14" s="70" customFormat="1"/>
    <row r="46" spans="14:14" s="70" customFormat="1"/>
    <row r="47" spans="14:14" s="70" customFormat="1"/>
    <row r="48" spans="14:14" s="70" customFormat="1"/>
    <row r="49" s="70" customFormat="1"/>
    <row r="50" s="70" customFormat="1"/>
    <row r="51" s="70" customFormat="1"/>
    <row r="52" s="70" customFormat="1"/>
    <row r="53" s="70" customFormat="1"/>
    <row r="54" s="70" customFormat="1"/>
    <row r="55" s="70" customFormat="1"/>
    <row r="56" s="70" customFormat="1"/>
    <row r="57" s="70" customFormat="1"/>
    <row r="58" s="70" customFormat="1"/>
    <row r="59" s="70" customFormat="1"/>
    <row r="60" s="70" customFormat="1"/>
    <row r="61" s="70" customFormat="1"/>
    <row r="62" s="70" customFormat="1"/>
    <row r="63" s="70" customFormat="1"/>
    <row r="64" s="70" customFormat="1"/>
    <row r="65" s="70" customFormat="1"/>
    <row r="66" s="70" customFormat="1"/>
    <row r="67" s="70" customFormat="1"/>
    <row r="68" s="70" customFormat="1"/>
    <row r="69" s="70" customFormat="1"/>
    <row r="70" s="70" customFormat="1"/>
    <row r="71" s="70" customFormat="1"/>
    <row r="72" s="70" customFormat="1"/>
    <row r="73" s="70" customFormat="1"/>
    <row r="74" s="70" customFormat="1"/>
    <row r="75" s="70" customFormat="1"/>
    <row r="76" s="70" customFormat="1"/>
    <row r="77" s="70" customFormat="1"/>
    <row r="78" s="70" customFormat="1"/>
    <row r="79" s="70" customFormat="1"/>
    <row r="80" s="70" customFormat="1"/>
    <row r="81" s="70" customFormat="1"/>
    <row r="82" s="70" customFormat="1"/>
    <row r="83" s="70" customFormat="1"/>
    <row r="84" s="70" customFormat="1"/>
    <row r="85" s="70" customFormat="1"/>
    <row r="86" s="70" customFormat="1"/>
    <row r="87" s="70" customFormat="1"/>
    <row r="88" s="70" customFormat="1"/>
    <row r="89" s="70" customFormat="1"/>
    <row r="90" s="70" customFormat="1"/>
    <row r="91" s="70" customFormat="1"/>
    <row r="92" s="70" customFormat="1"/>
    <row r="93" s="70" customFormat="1"/>
    <row r="94" s="70" customFormat="1"/>
    <row r="95" s="70" customFormat="1"/>
    <row r="96" s="70" customFormat="1"/>
    <row r="97" s="70" customFormat="1"/>
    <row r="98" s="70" customFormat="1"/>
    <row r="99" s="70" customFormat="1"/>
    <row r="100" s="70" customFormat="1"/>
    <row r="101" s="70" customFormat="1"/>
    <row r="102" s="70" customFormat="1"/>
    <row r="103" s="70" customFormat="1"/>
    <row r="104" s="70" customFormat="1"/>
    <row r="105" s="70" customFormat="1"/>
    <row r="106" s="70" customFormat="1"/>
    <row r="107" s="70" customFormat="1"/>
    <row r="108" s="70" customFormat="1"/>
    <row r="109" s="70" customFormat="1"/>
    <row r="110" s="70" customFormat="1"/>
    <row r="111" s="70" customFormat="1"/>
    <row r="112" s="70" customFormat="1"/>
    <row r="113" s="70" customFormat="1"/>
    <row r="114" s="70" customFormat="1"/>
    <row r="115" s="70" customFormat="1"/>
    <row r="116" s="70" customFormat="1"/>
    <row r="117" s="70" customFormat="1"/>
    <row r="118" s="70" customFormat="1"/>
    <row r="119" s="70" customFormat="1"/>
    <row r="120" s="70" customFormat="1"/>
    <row r="121" s="70" customFormat="1"/>
    <row r="122" s="70" customFormat="1"/>
    <row r="123" s="70" customFormat="1"/>
    <row r="124" s="70" customFormat="1"/>
    <row r="125" s="70" customFormat="1"/>
    <row r="126" s="70" customFormat="1"/>
    <row r="127" s="70" customFormat="1"/>
    <row r="128" s="70" customFormat="1"/>
    <row r="129" s="70" customFormat="1"/>
    <row r="130" s="70" customFormat="1"/>
    <row r="131" s="70" customFormat="1"/>
    <row r="132" s="70" customFormat="1"/>
    <row r="133" s="70" customFormat="1"/>
    <row r="134" s="70" customFormat="1"/>
    <row r="135" s="70" customFormat="1"/>
    <row r="136" s="70" customFormat="1"/>
    <row r="137" s="70" customFormat="1"/>
    <row r="138" s="70" customFormat="1"/>
    <row r="139" s="70" customFormat="1"/>
    <row r="140" s="70" customFormat="1"/>
    <row r="141" s="70" customFormat="1"/>
    <row r="142" s="70" customFormat="1"/>
    <row r="143" s="70" customFormat="1"/>
    <row r="144" s="70" customFormat="1"/>
    <row r="145" s="70" customFormat="1"/>
    <row r="146" s="70" customFormat="1"/>
    <row r="147" s="70" customFormat="1"/>
    <row r="148" s="70" customFormat="1"/>
    <row r="149" s="70" customFormat="1"/>
    <row r="150" s="70" customFormat="1"/>
    <row r="151" s="70" customFormat="1"/>
    <row r="152" s="70" customFormat="1"/>
    <row r="153" s="70" customFormat="1"/>
    <row r="154" s="70" customFormat="1"/>
    <row r="155" s="70" customFormat="1"/>
    <row r="156" s="70" customFormat="1"/>
    <row r="157" s="70" customFormat="1"/>
    <row r="158" s="70" customFormat="1"/>
    <row r="159" s="70" customFormat="1"/>
    <row r="160" s="70" customFormat="1"/>
    <row r="161" s="70" customFormat="1"/>
    <row r="162" s="70" customFormat="1"/>
    <row r="163" s="70" customFormat="1"/>
    <row r="164" s="70" customFormat="1"/>
    <row r="165" s="70" customFormat="1"/>
    <row r="166" s="70" customFormat="1"/>
    <row r="167" s="70" customFormat="1"/>
    <row r="168" s="70" customFormat="1"/>
    <row r="169" s="70" customFormat="1"/>
    <row r="170" s="70" customFormat="1"/>
    <row r="171" s="70" customFormat="1"/>
    <row r="172" s="70" customFormat="1"/>
    <row r="173" s="70" customFormat="1"/>
    <row r="174" s="70" customFormat="1"/>
    <row r="175" s="70" customFormat="1"/>
    <row r="176" s="70" customFormat="1"/>
    <row r="177" s="70" customFormat="1"/>
    <row r="178" s="70" customFormat="1"/>
    <row r="179" s="70" customFormat="1"/>
    <row r="180" s="70" customFormat="1"/>
    <row r="181" s="70" customFormat="1"/>
    <row r="182" s="70" customFormat="1"/>
    <row r="183" s="70" customFormat="1"/>
    <row r="184" s="70" customFormat="1"/>
    <row r="185" s="70" customFormat="1"/>
    <row r="186" s="70" customFormat="1"/>
    <row r="187" s="70" customFormat="1"/>
    <row r="188" s="70" customFormat="1"/>
    <row r="189" s="70" customFormat="1"/>
    <row r="190" s="70" customFormat="1"/>
    <row r="191" s="70" customFormat="1"/>
    <row r="192" s="70" customFormat="1"/>
    <row r="193" s="70" customFormat="1"/>
    <row r="194" s="70" customFormat="1"/>
    <row r="195" s="70" customFormat="1"/>
    <row r="196" s="70" customFormat="1"/>
    <row r="197" s="70" customFormat="1"/>
    <row r="198" s="70" customFormat="1"/>
    <row r="199" s="70" customFormat="1"/>
    <row r="200" s="70" customFormat="1"/>
    <row r="201" s="70" customFormat="1"/>
    <row r="202" s="70" customFormat="1"/>
    <row r="203" s="70" customFormat="1"/>
    <row r="204" s="70" customFormat="1"/>
    <row r="205" s="70" customFormat="1"/>
    <row r="206" s="70" customFormat="1"/>
    <row r="207" s="70" customFormat="1"/>
    <row r="208" s="70" customFormat="1"/>
    <row r="209" s="70" customFormat="1"/>
    <row r="210" s="70" customFormat="1"/>
    <row r="211" s="70" customFormat="1"/>
    <row r="212" s="70" customFormat="1"/>
    <row r="213" s="70" customFormat="1"/>
    <row r="214" s="70" customFormat="1"/>
    <row r="215" s="70" customFormat="1"/>
    <row r="216" s="70" customFormat="1"/>
    <row r="217" s="70" customFormat="1"/>
    <row r="218" s="70" customFormat="1"/>
    <row r="219" s="70" customFormat="1"/>
    <row r="220" s="70" customFormat="1"/>
    <row r="221" s="70" customFormat="1"/>
    <row r="222" s="70" customFormat="1"/>
    <row r="223" s="70" customFormat="1"/>
    <row r="224" s="70" customFormat="1"/>
    <row r="225" s="70" customFormat="1"/>
    <row r="226" s="70" customFormat="1"/>
    <row r="227" s="70" customFormat="1"/>
    <row r="228" s="70" customFormat="1"/>
    <row r="229" s="70" customFormat="1"/>
    <row r="230" s="70" customFormat="1"/>
    <row r="231" s="70" customFormat="1"/>
    <row r="232" s="70" customFormat="1"/>
    <row r="233" s="70" customFormat="1"/>
    <row r="234" s="70" customFormat="1"/>
    <row r="235" s="70" customFormat="1"/>
    <row r="236" s="70" customFormat="1"/>
    <row r="237" s="70" customFormat="1"/>
    <row r="238" s="70" customFormat="1"/>
    <row r="239" s="70" customFormat="1"/>
    <row r="240" s="70" customFormat="1"/>
    <row r="241" s="70" customFormat="1"/>
    <row r="242" s="70" customFormat="1"/>
    <row r="243" s="70" customFormat="1"/>
    <row r="244" s="70" customFormat="1"/>
    <row r="245" s="70" customFormat="1"/>
    <row r="246" s="70" customFormat="1"/>
    <row r="247" s="70" customFormat="1"/>
    <row r="248" s="70" customFormat="1"/>
    <row r="249" s="70" customFormat="1"/>
    <row r="250" s="70" customFormat="1"/>
    <row r="251" s="70" customFormat="1"/>
    <row r="252" s="70" customFormat="1"/>
    <row r="253" s="70" customFormat="1"/>
    <row r="254" s="70" customFormat="1"/>
    <row r="255" s="70" customFormat="1"/>
    <row r="256" s="70" customFormat="1"/>
    <row r="257" s="70" customFormat="1"/>
    <row r="258" s="70" customFormat="1"/>
    <row r="259" s="70" customFormat="1"/>
    <row r="260" s="70" customFormat="1"/>
    <row r="261" s="70" customFormat="1"/>
    <row r="262" s="70" customFormat="1"/>
    <row r="263" s="70" customFormat="1"/>
    <row r="264" s="70" customFormat="1"/>
    <row r="265" s="70" customFormat="1"/>
    <row r="266" s="70" customFormat="1"/>
    <row r="267" s="70" customFormat="1"/>
    <row r="268" s="70" customFormat="1"/>
    <row r="269" s="70" customFormat="1"/>
    <row r="270" s="70" customFormat="1"/>
    <row r="271" s="70" customFormat="1"/>
    <row r="272" s="70" customFormat="1"/>
    <row r="273" s="70" customFormat="1"/>
    <row r="274" s="70" customFormat="1"/>
    <row r="275" s="70" customFormat="1"/>
    <row r="276" s="70" customFormat="1"/>
    <row r="277" s="70" customFormat="1"/>
    <row r="278" s="70" customFormat="1"/>
    <row r="279" s="70" customFormat="1"/>
    <row r="280" s="70" customFormat="1"/>
    <row r="281" s="70" customFormat="1"/>
    <row r="282" s="70" customFormat="1"/>
    <row r="283" s="70" customFormat="1"/>
    <row r="284" s="70" customFormat="1"/>
    <row r="285" s="70" customFormat="1"/>
    <row r="286" s="70" customFormat="1"/>
    <row r="287" s="70" customFormat="1"/>
    <row r="288" s="70" customFormat="1"/>
    <row r="289" s="70" customFormat="1"/>
    <row r="290" s="70" customFormat="1"/>
    <row r="291" s="70" customFormat="1"/>
    <row r="292" s="70" customFormat="1"/>
    <row r="293" s="70" customFormat="1"/>
    <row r="294" s="70" customFormat="1"/>
    <row r="295" s="70" customFormat="1"/>
    <row r="296" s="70" customFormat="1"/>
    <row r="297" s="70" customFormat="1"/>
    <row r="298" s="70" customFormat="1"/>
    <row r="299" s="70" customFormat="1"/>
    <row r="300" s="70" customFormat="1"/>
    <row r="301" s="70" customFormat="1"/>
    <row r="302" s="70" customFormat="1"/>
    <row r="303" s="70" customFormat="1"/>
    <row r="304" s="70" customFormat="1"/>
    <row r="305" s="70" customFormat="1"/>
    <row r="306" s="70" customFormat="1"/>
    <row r="307" s="70" customFormat="1"/>
    <row r="308" s="70" customFormat="1"/>
    <row r="309" s="70" customFormat="1"/>
    <row r="310" s="70" customFormat="1"/>
    <row r="311" s="70" customFormat="1"/>
    <row r="312" s="70" customFormat="1"/>
    <row r="313" s="70" customFormat="1"/>
    <row r="314" s="70" customFormat="1"/>
    <row r="315" s="70" customFormat="1"/>
    <row r="316" s="70" customFormat="1"/>
    <row r="317" s="70" customFormat="1"/>
    <row r="318" s="70" customFormat="1"/>
    <row r="319" s="70" customFormat="1"/>
    <row r="320" s="70" customFormat="1"/>
    <row r="321" s="70" customFormat="1"/>
    <row r="322" s="70" customFormat="1"/>
    <row r="323" s="70" customFormat="1"/>
    <row r="324" s="70" customFormat="1"/>
    <row r="325" s="70" customFormat="1"/>
    <row r="326" s="70" customFormat="1"/>
    <row r="327" s="70" customFormat="1"/>
    <row r="328" s="70" customFormat="1"/>
    <row r="329" s="70" customFormat="1"/>
    <row r="330" s="70" customFormat="1"/>
    <row r="331" s="70" customFormat="1"/>
    <row r="332" s="70" customFormat="1"/>
    <row r="333" s="70" customFormat="1"/>
    <row r="334" s="70" customFormat="1"/>
    <row r="335" s="70" customFormat="1"/>
    <row r="336" s="70" customFormat="1"/>
    <row r="337" s="70" customFormat="1"/>
    <row r="338" s="70" customFormat="1"/>
    <row r="339" s="70" customFormat="1"/>
    <row r="340" s="70" customFormat="1"/>
    <row r="341" s="70" customFormat="1"/>
    <row r="342" s="70" customFormat="1"/>
    <row r="343" s="70" customFormat="1"/>
    <row r="344" s="70" customFormat="1"/>
    <row r="345" s="70" customFormat="1"/>
    <row r="346" s="70" customFormat="1"/>
    <row r="347" s="70" customFormat="1"/>
    <row r="348" s="70" customFormat="1"/>
    <row r="349" s="70" customFormat="1"/>
    <row r="350" s="70" customFormat="1"/>
    <row r="351" s="70" customFormat="1"/>
    <row r="352" s="70" customFormat="1"/>
    <row r="353" s="70" customFormat="1"/>
    <row r="354" s="70" customFormat="1"/>
    <row r="355" s="70" customFormat="1"/>
    <row r="356" s="70" customFormat="1"/>
    <row r="357" s="70" customFormat="1"/>
    <row r="358" s="70" customFormat="1"/>
    <row r="359" s="70" customFormat="1"/>
    <row r="360" s="70" customFormat="1"/>
    <row r="361" s="70" customFormat="1"/>
    <row r="362" s="70" customFormat="1"/>
    <row r="363" s="70" customFormat="1"/>
    <row r="364" s="70" customFormat="1"/>
    <row r="365" s="70" customFormat="1"/>
    <row r="366" s="70" customFormat="1"/>
    <row r="367" s="70" customFormat="1"/>
    <row r="368" s="70" customFormat="1"/>
    <row r="369" s="70" customFormat="1"/>
    <row r="370" s="70" customFormat="1"/>
    <row r="371" s="70" customFormat="1"/>
    <row r="372" s="70" customFormat="1"/>
    <row r="373" s="70" customFormat="1"/>
    <row r="374" s="70" customFormat="1"/>
    <row r="375" s="70" customFormat="1"/>
    <row r="376" s="70" customFormat="1"/>
    <row r="377" s="70" customFormat="1"/>
    <row r="378" s="70" customFormat="1"/>
    <row r="379" s="70" customFormat="1"/>
    <row r="380" s="70" customFormat="1"/>
    <row r="381" s="70" customFormat="1"/>
    <row r="382" s="70" customFormat="1"/>
    <row r="383" s="70" customFormat="1"/>
    <row r="384" s="70" customFormat="1"/>
    <row r="385" spans="1:5">
      <c r="A385" s="70"/>
      <c r="B385" s="70"/>
      <c r="C385" s="70"/>
      <c r="D385" s="70"/>
      <c r="E385" s="70"/>
    </row>
    <row r="386" spans="1:5">
      <c r="A386" s="70"/>
      <c r="B386" s="70"/>
      <c r="C386" s="70"/>
      <c r="D386" s="70"/>
      <c r="E386" s="70"/>
    </row>
    <row r="387" spans="1:5">
      <c r="A387" s="70"/>
      <c r="B387" s="70"/>
      <c r="C387" s="70"/>
      <c r="D387" s="70"/>
      <c r="E387" s="70"/>
    </row>
    <row r="388" spans="1:5">
      <c r="A388" s="70"/>
      <c r="B388" s="70"/>
      <c r="C388" s="70"/>
      <c r="D388" s="70"/>
      <c r="E388" s="70"/>
    </row>
    <row r="389" spans="1:5">
      <c r="A389" s="70"/>
    </row>
    <row r="390" spans="1:5">
      <c r="A390" s="70"/>
    </row>
    <row r="391" spans="1:5">
      <c r="A391" s="70"/>
    </row>
    <row r="392" spans="1:5">
      <c r="A392" s="70"/>
    </row>
  </sheetData>
  <mergeCells count="6">
    <mergeCell ref="L13:M13"/>
    <mergeCell ref="B2:E2"/>
    <mergeCell ref="G2:J2"/>
    <mergeCell ref="L2:N2"/>
    <mergeCell ref="L3:M3"/>
    <mergeCell ref="L8:M8"/>
  </mergeCells>
  <pageMargins left="0.25" right="0.25" top="0.75" bottom="0.75" header="0.3" footer="0.3"/>
  <pageSetup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9411-0B47-4BB1-BD1F-10ECDE82998D}">
  <sheetPr>
    <pageSetUpPr fitToPage="1"/>
  </sheetPr>
  <dimension ref="B1:AC51"/>
  <sheetViews>
    <sheetView zoomScale="85" zoomScaleNormal="85" workbookViewId="0">
      <selection activeCell="R34" sqref="R34"/>
    </sheetView>
  </sheetViews>
  <sheetFormatPr defaultRowHeight="18" customHeight="1"/>
  <cols>
    <col min="2" max="2" width="30.5703125" hidden="1" customWidth="1"/>
    <col min="3" max="3" width="11.28515625" hidden="1" customWidth="1"/>
    <col min="4" max="4" width="10.42578125" hidden="1" customWidth="1"/>
    <col min="5" max="5" width="14.140625" hidden="1" customWidth="1"/>
    <col min="6" max="6" width="15.42578125" hidden="1" customWidth="1"/>
    <col min="7" max="7" width="8.42578125" customWidth="1"/>
    <col min="8" max="8" width="30.85546875" bestFit="1" customWidth="1"/>
    <col min="9" max="9" width="11.28515625" customWidth="1"/>
    <col min="10" max="10" width="10" bestFit="1" customWidth="1"/>
    <col min="11" max="11" width="9.140625" bestFit="1" customWidth="1"/>
    <col min="12" max="12" width="16.5703125" customWidth="1"/>
    <col min="13" max="13" width="5.140625" customWidth="1"/>
    <col min="14" max="15" width="1.42578125" customWidth="1"/>
    <col min="16" max="16" width="30.85546875" bestFit="1" customWidth="1"/>
    <col min="17" max="17" width="10.5703125" bestFit="1" customWidth="1"/>
    <col min="18" max="18" width="39.28515625" style="712" customWidth="1"/>
    <col min="20" max="20" width="39" hidden="1" customWidth="1"/>
    <col min="21" max="21" width="17.5703125" hidden="1" customWidth="1"/>
    <col min="22" max="22" width="94.42578125" hidden="1" customWidth="1"/>
    <col min="23" max="32" width="0" hidden="1" customWidth="1"/>
  </cols>
  <sheetData>
    <row r="1" spans="2:29" s="656" customFormat="1" ht="18" customHeight="1" thickBot="1">
      <c r="R1" s="657"/>
    </row>
    <row r="2" spans="2:29" ht="18" customHeight="1">
      <c r="B2" s="658"/>
      <c r="C2" s="659"/>
      <c r="D2" s="659"/>
      <c r="E2" s="659"/>
      <c r="F2" s="660"/>
      <c r="H2" s="813" t="s">
        <v>479</v>
      </c>
      <c r="I2" s="814"/>
      <c r="J2" s="814"/>
      <c r="K2" s="814"/>
      <c r="L2" s="815"/>
      <c r="M2" s="661"/>
      <c r="P2" s="821" t="s">
        <v>466</v>
      </c>
      <c r="Q2" s="822"/>
      <c r="R2" s="823"/>
      <c r="T2" s="662" t="s">
        <v>467</v>
      </c>
      <c r="U2" s="663" t="s">
        <v>347</v>
      </c>
      <c r="V2" s="824" t="s">
        <v>348</v>
      </c>
      <c r="W2" s="825"/>
      <c r="X2" s="825"/>
      <c r="Y2" s="825"/>
      <c r="Z2" s="825"/>
      <c r="AA2" s="825"/>
      <c r="AB2" s="825"/>
      <c r="AC2" s="825"/>
    </row>
    <row r="3" spans="2:29" ht="18" customHeight="1" thickBot="1">
      <c r="B3" s="826" t="s">
        <v>468</v>
      </c>
      <c r="C3" s="827"/>
      <c r="D3" s="827"/>
      <c r="E3" s="827"/>
      <c r="F3" s="828"/>
      <c r="H3" s="816"/>
      <c r="I3" s="817"/>
      <c r="J3" s="817"/>
      <c r="K3" s="817"/>
      <c r="L3" s="818"/>
      <c r="M3" s="664"/>
      <c r="P3" s="665"/>
      <c r="Q3" s="666"/>
      <c r="R3" s="667"/>
      <c r="T3" s="668" t="s">
        <v>349</v>
      </c>
      <c r="U3" s="669">
        <v>1</v>
      </c>
      <c r="V3" s="820" t="s">
        <v>350</v>
      </c>
      <c r="W3" s="820"/>
      <c r="X3" s="820"/>
      <c r="Y3" s="820"/>
      <c r="Z3" s="820"/>
      <c r="AA3" s="820"/>
      <c r="AB3" s="820"/>
      <c r="AC3" s="820"/>
    </row>
    <row r="4" spans="2:29" ht="18" customHeight="1">
      <c r="B4" s="647" t="s">
        <v>351</v>
      </c>
      <c r="C4" s="671">
        <v>6</v>
      </c>
      <c r="D4" s="666"/>
      <c r="E4" s="666" t="s">
        <v>352</v>
      </c>
      <c r="F4" s="672">
        <f>6*365</f>
        <v>2190</v>
      </c>
      <c r="H4" s="647" t="s">
        <v>351</v>
      </c>
      <c r="I4" s="671">
        <v>20</v>
      </c>
      <c r="J4" s="666"/>
      <c r="K4" s="666" t="s">
        <v>352</v>
      </c>
      <c r="L4" s="672">
        <f>I4*365</f>
        <v>7300</v>
      </c>
      <c r="M4" s="673"/>
      <c r="P4" s="647" t="s">
        <v>125</v>
      </c>
      <c r="Q4" s="648"/>
      <c r="R4" s="649" t="s">
        <v>218</v>
      </c>
      <c r="T4" s="668" t="s">
        <v>353</v>
      </c>
      <c r="U4" s="669">
        <v>1</v>
      </c>
      <c r="V4" s="670" t="s">
        <v>354</v>
      </c>
      <c r="W4" s="670"/>
      <c r="X4" s="670"/>
      <c r="Y4" s="670"/>
      <c r="Z4" s="670"/>
      <c r="AA4" s="670"/>
      <c r="AB4" s="670"/>
      <c r="AC4" s="670"/>
    </row>
    <row r="5" spans="2:29" ht="18" customHeight="1">
      <c r="B5" s="647" t="s">
        <v>355</v>
      </c>
      <c r="C5" s="671">
        <v>12</v>
      </c>
      <c r="D5" s="666"/>
      <c r="E5" s="666"/>
      <c r="F5" s="672"/>
      <c r="H5" s="647" t="s">
        <v>355</v>
      </c>
      <c r="I5" s="671">
        <v>12</v>
      </c>
      <c r="J5" s="666"/>
      <c r="K5" s="666"/>
      <c r="L5" s="672"/>
      <c r="M5" s="673"/>
      <c r="P5" s="665" t="s">
        <v>401</v>
      </c>
      <c r="Q5" s="674">
        <f>'M2023 BLS SALARY CHART (53rd)'!C28</f>
        <v>101806.432</v>
      </c>
      <c r="R5" s="675" t="s">
        <v>356</v>
      </c>
      <c r="T5" s="668" t="s">
        <v>357</v>
      </c>
      <c r="U5" s="669">
        <v>0.5</v>
      </c>
      <c r="V5" s="820" t="s">
        <v>358</v>
      </c>
      <c r="W5" s="820"/>
      <c r="X5" s="820"/>
      <c r="Y5" s="820"/>
      <c r="Z5" s="820"/>
      <c r="AA5" s="820"/>
      <c r="AB5" s="820"/>
      <c r="AC5" s="820"/>
    </row>
    <row r="6" spans="2:29" ht="24.95" customHeight="1" thickBot="1">
      <c r="B6" s="647"/>
      <c r="C6" s="666"/>
      <c r="D6" s="664" t="s">
        <v>219</v>
      </c>
      <c r="E6" s="664" t="s">
        <v>220</v>
      </c>
      <c r="F6" s="676" t="s">
        <v>221</v>
      </c>
      <c r="H6" s="647"/>
      <c r="I6" s="666"/>
      <c r="J6" s="664" t="s">
        <v>219</v>
      </c>
      <c r="K6" s="664" t="s">
        <v>220</v>
      </c>
      <c r="L6" s="676" t="s">
        <v>221</v>
      </c>
      <c r="M6" s="673"/>
      <c r="P6" s="665" t="s">
        <v>402</v>
      </c>
      <c r="Q6" s="674">
        <f>'M2023 BLS SALARY CHART (53rd)'!C18</f>
        <v>83639.712</v>
      </c>
      <c r="R6" s="675" t="s">
        <v>356</v>
      </c>
      <c r="T6" s="668" t="s">
        <v>359</v>
      </c>
      <c r="U6" s="669">
        <v>1</v>
      </c>
      <c r="V6" s="820" t="s">
        <v>360</v>
      </c>
      <c r="W6" s="820"/>
      <c r="X6" s="820"/>
      <c r="Y6" s="820"/>
      <c r="Z6" s="820"/>
      <c r="AA6" s="820"/>
      <c r="AB6" s="820"/>
      <c r="AC6" s="820"/>
    </row>
    <row r="7" spans="2:29" ht="25.5" customHeight="1">
      <c r="B7" s="677" t="s">
        <v>224</v>
      </c>
      <c r="C7" s="678"/>
      <c r="D7" s="679"/>
      <c r="E7" s="680"/>
      <c r="F7" s="681"/>
      <c r="H7" s="665" t="str">
        <f>P5</f>
        <v xml:space="preserve">    Clinical Manager</v>
      </c>
      <c r="I7" s="673"/>
      <c r="J7" s="674">
        <f>Q5</f>
        <v>101806.432</v>
      </c>
      <c r="K7" s="682">
        <v>1</v>
      </c>
      <c r="L7" s="683">
        <f>J7*K7</f>
        <v>101806.432</v>
      </c>
      <c r="M7" s="673"/>
      <c r="P7" s="665" t="s">
        <v>361</v>
      </c>
      <c r="Q7" s="674">
        <f>('[21]M2021 BLS SALARY CHART (53_PCT)'!C44*50%)+('[21]M2021 BLS SALARY CHART (53_PCT)'!C34*50%)</f>
        <v>188064.152</v>
      </c>
      <c r="R7" s="684" t="s">
        <v>362</v>
      </c>
      <c r="T7" s="668" t="s">
        <v>363</v>
      </c>
      <c r="U7" s="669">
        <v>3</v>
      </c>
      <c r="V7" s="820" t="s">
        <v>364</v>
      </c>
      <c r="W7" s="820"/>
      <c r="X7" s="820"/>
      <c r="Y7" s="820"/>
      <c r="Z7" s="820"/>
      <c r="AA7" s="820"/>
      <c r="AB7" s="820"/>
      <c r="AC7" s="820"/>
    </row>
    <row r="8" spans="2:29" ht="18" customHeight="1">
      <c r="B8" s="665" t="str">
        <f>P5</f>
        <v xml:space="preserve">    Clinical Manager</v>
      </c>
      <c r="C8" s="673"/>
      <c r="D8" s="674">
        <f>Q5</f>
        <v>101806.432</v>
      </c>
      <c r="E8" s="682">
        <v>0.5</v>
      </c>
      <c r="F8" s="683">
        <f>D8*E8</f>
        <v>50903.216</v>
      </c>
      <c r="H8" s="665" t="str">
        <f>P6</f>
        <v xml:space="preserve">    Asst Program Management (LICSW)</v>
      </c>
      <c r="I8" s="673"/>
      <c r="J8" s="674">
        <f>Q6</f>
        <v>83639.712</v>
      </c>
      <c r="K8" s="682">
        <v>1</v>
      </c>
      <c r="L8" s="683">
        <f>J8*K8</f>
        <v>83639.712</v>
      </c>
      <c r="M8" s="673"/>
      <c r="P8" s="665" t="s">
        <v>365</v>
      </c>
      <c r="Q8" s="674">
        <f>'M2023 BLS SALARY CHART (53rd)'!C32</f>
        <v>103622.27200000001</v>
      </c>
      <c r="R8" s="675" t="s">
        <v>356</v>
      </c>
      <c r="T8" s="668" t="s">
        <v>366</v>
      </c>
      <c r="U8" s="669">
        <v>2</v>
      </c>
      <c r="V8" s="820" t="s">
        <v>367</v>
      </c>
      <c r="W8" s="820"/>
      <c r="X8" s="820"/>
      <c r="Y8" s="820"/>
      <c r="Z8" s="820"/>
      <c r="AA8" s="820"/>
      <c r="AB8" s="820"/>
      <c r="AC8" s="820"/>
    </row>
    <row r="9" spans="2:29" ht="18" customHeight="1">
      <c r="B9" s="685" t="str">
        <f>P7</f>
        <v xml:space="preserve">    Psychiatrist / APRN</v>
      </c>
      <c r="C9" s="686"/>
      <c r="D9" s="687">
        <f>Q7</f>
        <v>188064.152</v>
      </c>
      <c r="E9" s="688">
        <v>0.25</v>
      </c>
      <c r="F9" s="689">
        <f t="shared" ref="F9:F17" si="0">D9*E9</f>
        <v>47016.038</v>
      </c>
      <c r="H9" s="665" t="str">
        <f>P7</f>
        <v xml:space="preserve">    Psychiatrist / APRN</v>
      </c>
      <c r="I9" s="673"/>
      <c r="J9" s="674">
        <f>Q7</f>
        <v>188064.152</v>
      </c>
      <c r="K9" s="682">
        <v>0.5</v>
      </c>
      <c r="L9" s="683">
        <f t="shared" ref="L9" si="1">J9*K9</f>
        <v>94032.076000000001</v>
      </c>
      <c r="M9" s="673"/>
      <c r="P9" s="665" t="s">
        <v>368</v>
      </c>
      <c r="Q9" s="674">
        <f>'M2023 BLS SALARY CHART (53rd)'!C24</f>
        <v>82681.040000000008</v>
      </c>
      <c r="R9" s="675" t="s">
        <v>356</v>
      </c>
      <c r="T9" s="668" t="s">
        <v>369</v>
      </c>
      <c r="U9" s="669">
        <v>1</v>
      </c>
      <c r="V9" s="820" t="s">
        <v>370</v>
      </c>
      <c r="W9" s="820"/>
      <c r="X9" s="820"/>
      <c r="Y9" s="820"/>
      <c r="Z9" s="820"/>
      <c r="AA9" s="820"/>
      <c r="AB9" s="820"/>
      <c r="AC9" s="820"/>
    </row>
    <row r="10" spans="2:29" ht="18" customHeight="1">
      <c r="B10" s="647" t="s">
        <v>232</v>
      </c>
      <c r="C10" s="673"/>
      <c r="D10" s="674"/>
      <c r="E10" s="682" t="s">
        <v>371</v>
      </c>
      <c r="F10" s="683"/>
      <c r="H10" s="665" t="str">
        <f>P8</f>
        <v xml:space="preserve">    Registered Nurse</v>
      </c>
      <c r="I10" s="673"/>
      <c r="J10" s="674">
        <f>Q8</f>
        <v>103622.27200000001</v>
      </c>
      <c r="K10" s="682">
        <v>1</v>
      </c>
      <c r="L10" s="683">
        <f>K10*J10</f>
        <v>103622.27200000001</v>
      </c>
      <c r="M10" s="673"/>
      <c r="P10" s="665" t="s">
        <v>372</v>
      </c>
      <c r="Q10" s="674">
        <f>'M2023 BLS SALARY CHART (53rd)'!C14</f>
        <v>70211.44</v>
      </c>
      <c r="R10" s="675" t="s">
        <v>356</v>
      </c>
      <c r="T10" s="668" t="s">
        <v>373</v>
      </c>
      <c r="U10" s="669">
        <v>1</v>
      </c>
      <c r="V10" s="820" t="s">
        <v>374</v>
      </c>
      <c r="W10" s="820"/>
      <c r="X10" s="820"/>
      <c r="Y10" s="820"/>
      <c r="Z10" s="820"/>
      <c r="AA10" s="820"/>
      <c r="AB10" s="820"/>
      <c r="AC10" s="820"/>
    </row>
    <row r="11" spans="2:29" ht="18" customHeight="1">
      <c r="B11" s="685" t="str">
        <f t="shared" ref="B11" si="2">P14</f>
        <v xml:space="preserve">    Education Specialist</v>
      </c>
      <c r="C11" s="686"/>
      <c r="D11" s="687">
        <f>Q14</f>
        <v>77910</v>
      </c>
      <c r="E11" s="688">
        <v>0.25</v>
      </c>
      <c r="F11" s="689">
        <f>E11*D11</f>
        <v>19477.5</v>
      </c>
      <c r="H11" s="665" t="str">
        <f>P10</f>
        <v xml:space="preserve">    Clinician (MA Level)</v>
      </c>
      <c r="I11" s="673"/>
      <c r="J11" s="674">
        <f>Q10</f>
        <v>70211.44</v>
      </c>
      <c r="K11" s="682">
        <v>3</v>
      </c>
      <c r="L11" s="683">
        <f>K11*J11</f>
        <v>210634.32</v>
      </c>
      <c r="M11" s="673"/>
      <c r="P11" s="665" t="s">
        <v>368</v>
      </c>
      <c r="Q11" s="674">
        <f>Q9</f>
        <v>82681.040000000008</v>
      </c>
      <c r="R11" s="675" t="s">
        <v>356</v>
      </c>
      <c r="T11" s="668" t="s">
        <v>375</v>
      </c>
      <c r="U11" s="669">
        <v>1</v>
      </c>
      <c r="V11" s="820" t="s">
        <v>376</v>
      </c>
      <c r="W11" s="820"/>
      <c r="X11" s="820"/>
      <c r="Y11" s="820"/>
      <c r="Z11" s="820"/>
      <c r="AA11" s="820"/>
      <c r="AB11" s="820"/>
      <c r="AC11" s="820"/>
    </row>
    <row r="12" spans="2:29" ht="18" customHeight="1">
      <c r="B12" s="665" t="e">
        <f>#REF!</f>
        <v>#REF!</v>
      </c>
      <c r="C12" s="673"/>
      <c r="D12" s="674" t="e">
        <f>#REF!</f>
        <v>#REF!</v>
      </c>
      <c r="E12" s="682">
        <v>1.2</v>
      </c>
      <c r="F12" s="683" t="e">
        <f t="shared" si="0"/>
        <v>#REF!</v>
      </c>
      <c r="H12" s="665" t="str">
        <f>P11</f>
        <v xml:space="preserve">    Occupational Therapist </v>
      </c>
      <c r="I12" s="673"/>
      <c r="J12" s="674">
        <f>Q11</f>
        <v>82681.040000000008</v>
      </c>
      <c r="K12" s="682">
        <v>1</v>
      </c>
      <c r="L12" s="683">
        <f>K12*J12</f>
        <v>82681.040000000008</v>
      </c>
      <c r="M12" s="673"/>
      <c r="P12" s="665" t="s">
        <v>377</v>
      </c>
      <c r="Q12" s="674">
        <f>'M2023 BLS SALARY CHART (53rd)'!C8</f>
        <v>56217.241600000001</v>
      </c>
      <c r="R12" s="675" t="s">
        <v>356</v>
      </c>
      <c r="T12" s="668" t="s">
        <v>378</v>
      </c>
      <c r="U12" s="669">
        <v>0.5</v>
      </c>
      <c r="V12" s="820" t="s">
        <v>379</v>
      </c>
      <c r="W12" s="820"/>
      <c r="X12" s="820"/>
      <c r="Y12" s="820"/>
      <c r="Z12" s="820"/>
      <c r="AA12" s="820"/>
      <c r="AB12" s="820"/>
      <c r="AC12" s="820"/>
    </row>
    <row r="13" spans="2:29" ht="18" customHeight="1">
      <c r="B13" s="665" t="e">
        <f>#REF!</f>
        <v>#REF!</v>
      </c>
      <c r="C13" s="673"/>
      <c r="D13" s="674" t="e">
        <f>#REF!</f>
        <v>#REF!</v>
      </c>
      <c r="E13" s="682">
        <v>0.5</v>
      </c>
      <c r="F13" s="683" t="e">
        <f t="shared" si="0"/>
        <v>#REF!</v>
      </c>
      <c r="H13" s="665" t="str">
        <f>P14</f>
        <v xml:space="preserve">    Education Specialist</v>
      </c>
      <c r="I13" s="673"/>
      <c r="J13" s="674">
        <f>Q14</f>
        <v>77910</v>
      </c>
      <c r="K13" s="682">
        <v>0.5</v>
      </c>
      <c r="L13" s="683">
        <f>K13*J13</f>
        <v>38955</v>
      </c>
      <c r="M13" s="673"/>
      <c r="P13" s="665" t="s">
        <v>380</v>
      </c>
      <c r="Q13" s="690">
        <f>'M2023 BLS SALARY CHART (53rd)'!C54</f>
        <v>49732.404800000004</v>
      </c>
      <c r="R13" s="675" t="s">
        <v>381</v>
      </c>
      <c r="T13" s="668" t="s">
        <v>382</v>
      </c>
      <c r="U13" s="669">
        <v>0.5</v>
      </c>
      <c r="V13" s="820" t="s">
        <v>383</v>
      </c>
      <c r="W13" s="820"/>
      <c r="X13" s="820"/>
      <c r="Y13" s="820"/>
      <c r="Z13" s="820"/>
      <c r="AA13" s="820"/>
      <c r="AB13" s="820"/>
      <c r="AC13" s="820"/>
    </row>
    <row r="14" spans="2:29" ht="18" customHeight="1">
      <c r="B14" s="665" t="e">
        <f>#REF!</f>
        <v>#REF!</v>
      </c>
      <c r="C14" s="673"/>
      <c r="D14" s="674">
        <f>Q15</f>
        <v>43247.567999999999</v>
      </c>
      <c r="E14" s="682">
        <v>0.5</v>
      </c>
      <c r="F14" s="683">
        <f>E14*D14</f>
        <v>21623.784</v>
      </c>
      <c r="H14" s="665" t="str">
        <f>P12</f>
        <v xml:space="preserve">    Outreach Staff / Family Partner</v>
      </c>
      <c r="I14" s="673"/>
      <c r="J14" s="674">
        <f>Q12</f>
        <v>56217.241600000001</v>
      </c>
      <c r="K14" s="682">
        <f>U8</f>
        <v>2</v>
      </c>
      <c r="L14" s="683">
        <f t="shared" ref="L14:L17" si="3">J14*K14</f>
        <v>112434.4832</v>
      </c>
      <c r="M14" s="673"/>
      <c r="P14" s="665" t="s">
        <v>384</v>
      </c>
      <c r="Q14" s="674">
        <v>77910</v>
      </c>
      <c r="R14" s="667" t="s">
        <v>385</v>
      </c>
    </row>
    <row r="15" spans="2:29" ht="18" customHeight="1">
      <c r="B15" s="665" t="str">
        <f>P15</f>
        <v xml:space="preserve">    Young Adult Peer Mentor </v>
      </c>
      <c r="C15" s="673"/>
      <c r="D15" s="674">
        <f>Q15</f>
        <v>43247.567999999999</v>
      </c>
      <c r="E15" s="682">
        <v>0.25</v>
      </c>
      <c r="F15" s="683">
        <f t="shared" si="0"/>
        <v>10811.892</v>
      </c>
      <c r="H15" s="665" t="str">
        <f>P13</f>
        <v xml:space="preserve">    Family Partner</v>
      </c>
      <c r="I15" s="673"/>
      <c r="J15" s="674">
        <f>Q13</f>
        <v>49732.404800000004</v>
      </c>
      <c r="K15" s="682">
        <f>U10</f>
        <v>1</v>
      </c>
      <c r="L15" s="683">
        <f t="shared" si="3"/>
        <v>49732.404800000004</v>
      </c>
      <c r="M15" s="673"/>
      <c r="P15" s="665" t="s">
        <v>386</v>
      </c>
      <c r="Q15" s="674">
        <f>'M2023 BLS SALARY CHART (53rd)'!C6</f>
        <v>43247.567999999999</v>
      </c>
      <c r="R15" s="675" t="s">
        <v>387</v>
      </c>
    </row>
    <row r="16" spans="2:29" ht="18" customHeight="1">
      <c r="B16" s="665" t="str">
        <f>P16</f>
        <v xml:space="preserve">    Family Partner</v>
      </c>
      <c r="C16" s="673"/>
      <c r="D16" s="674">
        <f>Q16</f>
        <v>43247.567999999999</v>
      </c>
      <c r="E16" s="682">
        <v>0.25</v>
      </c>
      <c r="F16" s="683">
        <f t="shared" si="0"/>
        <v>10811.892</v>
      </c>
      <c r="H16" s="665" t="str">
        <f>P15</f>
        <v xml:space="preserve">    Young Adult Peer Mentor </v>
      </c>
      <c r="I16" s="673"/>
      <c r="J16" s="674">
        <f>Q15</f>
        <v>43247.567999999999</v>
      </c>
      <c r="K16" s="682">
        <v>1</v>
      </c>
      <c r="L16" s="683">
        <f t="shared" si="3"/>
        <v>43247.567999999999</v>
      </c>
      <c r="M16" s="673"/>
      <c r="P16" s="665" t="s">
        <v>380</v>
      </c>
      <c r="Q16" s="674">
        <f>Q15</f>
        <v>43247.567999999999</v>
      </c>
      <c r="R16" s="675" t="s">
        <v>356</v>
      </c>
    </row>
    <row r="17" spans="2:18" ht="21.95" customHeight="1" thickBot="1">
      <c r="B17" s="691" t="str">
        <f>P17</f>
        <v xml:space="preserve">    Support Staff / Prg Assistant</v>
      </c>
      <c r="C17" s="692"/>
      <c r="D17" s="693">
        <f>Q17</f>
        <v>43247.567999999999</v>
      </c>
      <c r="E17" s="694">
        <v>0.125</v>
      </c>
      <c r="F17" s="683">
        <f t="shared" si="0"/>
        <v>5405.9459999999999</v>
      </c>
      <c r="H17" s="691" t="s">
        <v>388</v>
      </c>
      <c r="I17" s="692"/>
      <c r="J17" s="674">
        <f>Q17</f>
        <v>43247.567999999999</v>
      </c>
      <c r="K17" s="682">
        <v>0.5</v>
      </c>
      <c r="L17" s="683">
        <f t="shared" si="3"/>
        <v>21623.784</v>
      </c>
      <c r="M17" s="673"/>
      <c r="P17" s="665" t="s">
        <v>389</v>
      </c>
      <c r="Q17" s="674">
        <f>Q16</f>
        <v>43247.567999999999</v>
      </c>
      <c r="R17" s="675" t="s">
        <v>356</v>
      </c>
    </row>
    <row r="18" spans="2:18" ht="23.1" customHeight="1" thickBot="1">
      <c r="B18" s="695" t="s">
        <v>239</v>
      </c>
      <c r="C18" s="696"/>
      <c r="D18" s="696"/>
      <c r="E18" s="697">
        <f>SUM(E7:E17)</f>
        <v>3.8250000000000002</v>
      </c>
      <c r="F18" s="698" t="e">
        <f>SUM(F7:F17)</f>
        <v>#REF!</v>
      </c>
      <c r="H18" s="695" t="s">
        <v>239</v>
      </c>
      <c r="I18" s="696"/>
      <c r="J18" s="696"/>
      <c r="K18" s="699">
        <f>SUM(K7:K17)</f>
        <v>12.5</v>
      </c>
      <c r="L18" s="698">
        <f>SUM(L7:L17)</f>
        <v>942409.09199999995</v>
      </c>
      <c r="M18" s="673"/>
      <c r="P18" s="665"/>
      <c r="Q18" s="673"/>
      <c r="R18" s="667"/>
    </row>
    <row r="19" spans="2:18" ht="18" customHeight="1">
      <c r="B19" s="647" t="s">
        <v>390</v>
      </c>
      <c r="C19" s="673"/>
      <c r="D19" s="673"/>
      <c r="E19" s="666"/>
      <c r="F19" s="675"/>
      <c r="H19" s="647" t="s">
        <v>390</v>
      </c>
      <c r="I19" s="673"/>
      <c r="J19" s="673"/>
      <c r="K19" s="666"/>
      <c r="L19" s="675"/>
      <c r="M19" s="673"/>
      <c r="P19" s="829" t="s">
        <v>391</v>
      </c>
      <c r="Q19" s="830"/>
      <c r="R19" s="831"/>
    </row>
    <row r="20" spans="2:18" ht="24.95" customHeight="1">
      <c r="B20" s="665" t="s">
        <v>278</v>
      </c>
      <c r="C20" s="673"/>
      <c r="D20" s="700">
        <f>Q20</f>
        <v>0.24970000000000001</v>
      </c>
      <c r="E20" s="673"/>
      <c r="F20" s="683" t="e">
        <f>F18*D20</f>
        <v>#REF!</v>
      </c>
      <c r="H20" s="665" t="s">
        <v>278</v>
      </c>
      <c r="I20" s="673"/>
      <c r="J20" s="700">
        <f>Q20</f>
        <v>0.24970000000000001</v>
      </c>
      <c r="K20" s="673"/>
      <c r="L20" s="683">
        <f>L18*J20</f>
        <v>235319.5502724</v>
      </c>
      <c r="M20" s="673"/>
      <c r="P20" s="665" t="s">
        <v>278</v>
      </c>
      <c r="Q20" s="700">
        <f>'M2023 BLS SALARY CHART (53rd)'!C38</f>
        <v>0.24970000000000001</v>
      </c>
      <c r="R20" s="667" t="s">
        <v>392</v>
      </c>
    </row>
    <row r="21" spans="2:18" ht="18" customHeight="1">
      <c r="B21" s="701" t="s">
        <v>280</v>
      </c>
      <c r="C21" s="702"/>
      <c r="D21" s="702"/>
      <c r="E21" s="703"/>
      <c r="F21" s="704" t="e">
        <f>F20+F18</f>
        <v>#REF!</v>
      </c>
      <c r="H21" s="665" t="s">
        <v>254</v>
      </c>
      <c r="I21" s="673"/>
      <c r="J21" s="700">
        <f>'Fall CAF'!CP38</f>
        <v>3.2549514448865162E-2</v>
      </c>
      <c r="K21" s="673"/>
      <c r="L21" s="683">
        <f>(L20+L18)*J21</f>
        <v>38334.495458487836</v>
      </c>
      <c r="M21" s="673"/>
      <c r="P21" s="665" t="s">
        <v>393</v>
      </c>
      <c r="Q21" s="705">
        <v>25.67</v>
      </c>
      <c r="R21" s="667" t="s">
        <v>394</v>
      </c>
    </row>
    <row r="22" spans="2:18" ht="18" customHeight="1">
      <c r="B22" s="665" t="s">
        <v>393</v>
      </c>
      <c r="C22" s="706"/>
      <c r="D22" s="673"/>
      <c r="E22" s="706">
        <f>Q21</f>
        <v>25.67</v>
      </c>
      <c r="F22" s="707">
        <f>E22*E18*150</f>
        <v>14728.1625</v>
      </c>
      <c r="H22" s="701" t="s">
        <v>280</v>
      </c>
      <c r="I22" s="702"/>
      <c r="J22" s="702"/>
      <c r="K22" s="703"/>
      <c r="L22" s="704">
        <f>L20+L18+L21</f>
        <v>1216063.1377308879</v>
      </c>
      <c r="M22" s="673"/>
      <c r="P22" s="665" t="s">
        <v>396</v>
      </c>
      <c r="Q22" s="737">
        <f>1873+412</f>
        <v>2285</v>
      </c>
      <c r="R22" s="667" t="s">
        <v>394</v>
      </c>
    </row>
    <row r="23" spans="2:18" ht="18" customHeight="1" thickBot="1">
      <c r="B23" s="665" t="s">
        <v>397</v>
      </c>
      <c r="C23" s="673"/>
      <c r="D23" s="673"/>
      <c r="E23" s="708">
        <f>$Q$22</f>
        <v>2285</v>
      </c>
      <c r="F23" s="707">
        <f>E23*C4</f>
        <v>13710</v>
      </c>
      <c r="H23" s="665" t="s">
        <v>395</v>
      </c>
      <c r="I23" s="673"/>
      <c r="J23" s="673"/>
      <c r="K23" s="708">
        <f>Q22+2406.55</f>
        <v>4691.55</v>
      </c>
      <c r="L23" s="707">
        <f>K23*I4</f>
        <v>93831</v>
      </c>
      <c r="M23" s="673"/>
      <c r="P23" s="691" t="s">
        <v>286</v>
      </c>
      <c r="Q23" s="709">
        <v>0.12</v>
      </c>
      <c r="R23" s="710" t="s">
        <v>206</v>
      </c>
    </row>
    <row r="24" spans="2:18" ht="18" customHeight="1">
      <c r="B24" s="701" t="s">
        <v>285</v>
      </c>
      <c r="C24" s="702"/>
      <c r="D24" s="702"/>
      <c r="E24" s="702"/>
      <c r="F24" s="704" t="e">
        <f>SUM(F21:F23)</f>
        <v>#REF!</v>
      </c>
      <c r="H24" s="701" t="s">
        <v>285</v>
      </c>
      <c r="I24" s="702"/>
      <c r="J24" s="702"/>
      <c r="K24" s="702"/>
      <c r="L24" s="704">
        <f>SUM(L22:L23)</f>
        <v>1309894.1377308879</v>
      </c>
      <c r="M24" s="711"/>
    </row>
    <row r="25" spans="2:18" ht="18" customHeight="1">
      <c r="B25" s="665" t="s">
        <v>286</v>
      </c>
      <c r="C25" s="673"/>
      <c r="D25" s="700">
        <f>$Q$23</f>
        <v>0.12</v>
      </c>
      <c r="E25" s="673"/>
      <c r="F25" s="683" t="e">
        <f>D25*F24</f>
        <v>#REF!</v>
      </c>
      <c r="H25" s="665" t="s">
        <v>286</v>
      </c>
      <c r="I25" s="673"/>
      <c r="J25" s="700">
        <f>$Q$23</f>
        <v>0.12</v>
      </c>
      <c r="K25" s="673"/>
      <c r="L25" s="683">
        <f>(L24-L21)*J25</f>
        <v>152587.15707268799</v>
      </c>
      <c r="M25" s="713"/>
    </row>
    <row r="26" spans="2:18" ht="18" customHeight="1">
      <c r="B26" s="665"/>
      <c r="C26" s="673"/>
      <c r="D26" s="700"/>
      <c r="E26" s="673"/>
      <c r="F26" s="683"/>
      <c r="H26" s="665" t="s">
        <v>254</v>
      </c>
      <c r="I26" s="673"/>
      <c r="J26" s="700">
        <f>J21</f>
        <v>3.2549514448865162E-2</v>
      </c>
      <c r="K26" s="673"/>
      <c r="L26" s="683">
        <f>L23*J26</f>
        <v>3054.1534902514668</v>
      </c>
      <c r="M26" s="713"/>
    </row>
    <row r="27" spans="2:18" ht="18" customHeight="1" thickBot="1">
      <c r="B27" s="714" t="s">
        <v>287</v>
      </c>
      <c r="C27" s="715"/>
      <c r="D27" s="715"/>
      <c r="E27" s="715"/>
      <c r="F27" s="716" t="e">
        <f>SUM(F24:F25)</f>
        <v>#REF!</v>
      </c>
      <c r="H27" s="714" t="s">
        <v>287</v>
      </c>
      <c r="I27" s="715"/>
      <c r="J27" s="715"/>
      <c r="K27" s="715"/>
      <c r="L27" s="716">
        <f>SUM(L24:L26)</f>
        <v>1465535.4482938272</v>
      </c>
      <c r="M27" s="673"/>
    </row>
    <row r="28" spans="2:18" ht="18" customHeight="1" thickTop="1" thickBot="1">
      <c r="B28" s="717" t="s">
        <v>398</v>
      </c>
      <c r="C28" s="718"/>
      <c r="D28" s="719"/>
      <c r="E28" s="720"/>
      <c r="F28" s="721" t="e">
        <f>F27/F4</f>
        <v>#REF!</v>
      </c>
      <c r="H28" s="717" t="s">
        <v>398</v>
      </c>
      <c r="I28" s="718"/>
      <c r="J28" s="719"/>
      <c r="K28" s="720"/>
      <c r="L28" s="721">
        <f>L27/L4</f>
        <v>200.7582805881955</v>
      </c>
      <c r="M28" s="673"/>
      <c r="P28" s="650"/>
    </row>
    <row r="29" spans="2:18" ht="21.6" customHeight="1" thickBot="1">
      <c r="B29" s="717" t="s">
        <v>399</v>
      </c>
      <c r="C29" s="722"/>
      <c r="D29" s="723">
        <v>0.9</v>
      </c>
      <c r="E29" s="720"/>
      <c r="F29" s="721" t="e">
        <f>F28/D29</f>
        <v>#REF!</v>
      </c>
      <c r="H29" s="717" t="s">
        <v>399</v>
      </c>
      <c r="I29" s="722"/>
      <c r="J29" s="723">
        <v>0.9</v>
      </c>
      <c r="K29" s="720"/>
      <c r="L29" s="724">
        <f>$L$28/J29</f>
        <v>223.06475620910612</v>
      </c>
      <c r="M29" s="706"/>
    </row>
    <row r="30" spans="2:18" ht="18" hidden="1" customHeight="1" thickBot="1">
      <c r="B30" s="725" t="s">
        <v>400</v>
      </c>
      <c r="C30" s="513"/>
      <c r="D30" s="513"/>
      <c r="E30" s="726"/>
      <c r="F30" s="727" t="e">
        <f>F27/C5</f>
        <v>#REF!</v>
      </c>
      <c r="H30" s="728" t="s">
        <v>399</v>
      </c>
      <c r="I30" s="729"/>
      <c r="J30" s="730">
        <v>0.85</v>
      </c>
      <c r="K30" s="731"/>
      <c r="L30" s="724">
        <f>$L$28/J30</f>
        <v>236.18621245670059</v>
      </c>
      <c r="M30" s="713"/>
    </row>
    <row r="31" spans="2:18" ht="18" hidden="1" customHeight="1" thickBot="1">
      <c r="F31" s="508"/>
      <c r="G31" s="591"/>
      <c r="H31" s="728" t="s">
        <v>399</v>
      </c>
      <c r="I31" s="729"/>
      <c r="J31" s="730">
        <v>0.8</v>
      </c>
      <c r="K31" s="731"/>
      <c r="L31" s="724">
        <f>$L$28/J31</f>
        <v>250.94785073524437</v>
      </c>
      <c r="M31" s="713"/>
      <c r="P31" s="819"/>
      <c r="Q31" s="819"/>
      <c r="R31" s="819"/>
    </row>
    <row r="32" spans="2:18" ht="18" hidden="1" customHeight="1" thickBot="1">
      <c r="F32" s="732"/>
      <c r="H32" s="725" t="s">
        <v>400</v>
      </c>
      <c r="I32" s="513"/>
      <c r="J32" s="513"/>
      <c r="K32" s="726"/>
      <c r="L32" s="733">
        <f>L27/I5</f>
        <v>122127.9540244856</v>
      </c>
      <c r="M32" s="713"/>
      <c r="P32" s="644"/>
      <c r="Q32" s="644"/>
      <c r="R32" s="734"/>
    </row>
    <row r="33" spans="5:18" ht="18" hidden="1" customHeight="1">
      <c r="E33" s="645"/>
      <c r="L33" s="508"/>
      <c r="M33" s="673"/>
      <c r="P33" s="644"/>
      <c r="Q33" s="644"/>
      <c r="R33" s="734"/>
    </row>
    <row r="34" spans="5:18" ht="18" customHeight="1">
      <c r="F34" s="651"/>
      <c r="G34" s="591"/>
      <c r="K34" s="645"/>
      <c r="L34" s="732"/>
      <c r="M34" s="673"/>
    </row>
    <row r="35" spans="5:18" ht="18" customHeight="1">
      <c r="F35" s="645"/>
      <c r="M35" s="713"/>
    </row>
    <row r="36" spans="5:18" ht="18" customHeight="1">
      <c r="F36" s="645"/>
      <c r="J36" s="652"/>
      <c r="L36" s="645"/>
      <c r="M36" s="713"/>
    </row>
    <row r="37" spans="5:18" ht="18" customHeight="1">
      <c r="J37" s="652"/>
      <c r="M37" s="713"/>
    </row>
    <row r="38" spans="5:18" ht="18" customHeight="1">
      <c r="M38" s="673"/>
    </row>
    <row r="39" spans="5:18" ht="18" customHeight="1">
      <c r="M39" s="673"/>
    </row>
    <row r="40" spans="5:18" ht="18" customHeight="1">
      <c r="M40" s="735"/>
    </row>
    <row r="41" spans="5:18" ht="18" customHeight="1">
      <c r="M41" s="736"/>
    </row>
    <row r="42" spans="5:18" ht="18" customHeight="1">
      <c r="M42" s="736"/>
    </row>
    <row r="43" spans="5:18" ht="18" customHeight="1">
      <c r="M43" s="736"/>
    </row>
    <row r="44" spans="5:18" ht="18" customHeight="1">
      <c r="M44" s="508"/>
      <c r="N44" s="508"/>
    </row>
    <row r="45" spans="5:18" ht="18" customHeight="1">
      <c r="M45" s="653"/>
      <c r="N45" s="654"/>
    </row>
    <row r="48" spans="5:18" ht="18" customHeight="1">
      <c r="M48" s="652"/>
    </row>
    <row r="51" spans="13:13" ht="18" customHeight="1">
      <c r="M51" s="655"/>
    </row>
  </sheetData>
  <mergeCells count="16">
    <mergeCell ref="B3:F3"/>
    <mergeCell ref="V3:AC3"/>
    <mergeCell ref="V12:AC12"/>
    <mergeCell ref="V13:AC13"/>
    <mergeCell ref="P19:R19"/>
    <mergeCell ref="V6:AC6"/>
    <mergeCell ref="V7:AC7"/>
    <mergeCell ref="V8:AC8"/>
    <mergeCell ref="V9:AC9"/>
    <mergeCell ref="V10:AC10"/>
    <mergeCell ref="V11:AC11"/>
    <mergeCell ref="H2:L3"/>
    <mergeCell ref="P31:R31"/>
    <mergeCell ref="V5:AC5"/>
    <mergeCell ref="P2:R2"/>
    <mergeCell ref="V2:AC2"/>
  </mergeCells>
  <pageMargins left="0.25" right="0.25" top="0.25" bottom="0.25" header="0.05" footer="0.05"/>
  <pageSetup paperSize="5"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CAF FALL 2022</vt:lpstr>
      <vt:lpstr>M2021 BLS SALARY CHART (53_PCT)</vt:lpstr>
      <vt:lpstr>M2023 BLS SALARY CHART (53rd)</vt:lpstr>
      <vt:lpstr>Fall CAF</vt:lpstr>
      <vt:lpstr>Forensic PACT Rate Budget</vt:lpstr>
      <vt:lpstr>PACT 50 Rate Budget</vt:lpstr>
      <vt:lpstr>PACT 80 Rate Budget</vt:lpstr>
      <vt:lpstr>Forensic GLE Budget</vt:lpstr>
      <vt:lpstr>PACT Youth</vt:lpstr>
      <vt:lpstr>Fiscal Impact FY22</vt:lpstr>
      <vt:lpstr>'Forensic GLE Budget'!Print_Area</vt:lpstr>
      <vt:lpstr>'M2021 BLS SALARY CHART (53_PCT)'!Print_Area</vt:lpstr>
      <vt:lpstr>'M2023 BLS SALARY CHART (53rd)'!Print_Area</vt:lpstr>
      <vt:lpstr>'PACT 50 Rate Budget'!Print_Area</vt:lpstr>
      <vt:lpstr>'PACT 80 Rate Budget'!Print_Area</vt:lpstr>
      <vt:lpstr>'CAF FALL 2022'!Print_Titles</vt:lpstr>
      <vt:lpstr>'Fall CAF'!Print_Titles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Solimini, Kara (EHS)</dc:creator>
  <cp:lastModifiedBy>Harrison, Deborah (EHS)</cp:lastModifiedBy>
  <dcterms:created xsi:type="dcterms:W3CDTF">2023-02-03T13:07:25Z</dcterms:created>
  <dcterms:modified xsi:type="dcterms:W3CDTF">2025-03-31T14:18:50Z</dcterms:modified>
</cp:coreProperties>
</file>