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https://massgov.sharepoint.com/sites/ocd-doh-gfs/Mgmt/1_Housing Management/4_Data and Mgmt Files/Budgets/0_Budget Guidelines/FY2026 Budget Guidelines/"/>
    </mc:Choice>
  </mc:AlternateContent>
  <xr:revisionPtr revIDLastSave="0" documentId="8_{AB5D7A50-7CCD-44E3-8643-5003476400D8}" xr6:coauthVersionLast="47" xr6:coauthVersionMax="47" xr10:uidLastSave="{00000000-0000-0000-0000-000000000000}"/>
  <bookViews>
    <workbookView xWindow="-110" yWindow="-110" windowWidth="19420" windowHeight="11500" xr2:uid="{53050154-5146-4EC5-9A89-9A85A6734E48}"/>
  </bookViews>
  <sheets>
    <sheet name="ED Salary Calculation Worksheet" sheetId="2" r:id="rId1"/>
    <sheet name="LHA Lookup" sheetId="5" state="hidden" r:id="rId2"/>
    <sheet name="Salary Lookup" sheetId="3" state="hidden" r:id="rId3"/>
    <sheet name="FORMULA INCREASE" sheetId="6" state="hidden" r:id="rId4"/>
  </sheets>
  <externalReferences>
    <externalReference r:id="rId5"/>
  </externalReferences>
  <definedNames>
    <definedName name="FAMILY_FACTOR">'Salary Lookup'!$F$21:$G$28</definedName>
    <definedName name="FYE">[1]A!$D$4:$D$4</definedName>
    <definedName name="LHA">[1]A!$D$2:$D$2</definedName>
    <definedName name="_xlnm.Print_Area" localSheetId="0">'ED Salary Calculation Worksheet'!$A$1:$I$180</definedName>
    <definedName name="PROGRAM_FACTOR">'Salary Lookup'!$C$22:$D$32</definedName>
    <definedName name="Sal">'Salary Lookup'!$D$6:$G$18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3" l="1"/>
  <c r="F7" i="3"/>
  <c r="K18" i="6"/>
  <c r="J8" i="6"/>
  <c r="E8" i="3" s="1"/>
  <c r="K8" i="6"/>
  <c r="F8" i="3" s="1"/>
  <c r="L8" i="6"/>
  <c r="G8" i="3" s="1"/>
  <c r="J9" i="6"/>
  <c r="E9" i="3" s="1"/>
  <c r="K9" i="6"/>
  <c r="L9" i="6"/>
  <c r="G9" i="3" s="1"/>
  <c r="J10" i="6"/>
  <c r="E10" i="3" s="1"/>
  <c r="K10" i="6"/>
  <c r="L10" i="6"/>
  <c r="J11" i="6"/>
  <c r="E11" i="3" s="1"/>
  <c r="K11" i="6"/>
  <c r="L11" i="6"/>
  <c r="J12" i="6"/>
  <c r="K12" i="6"/>
  <c r="F12" i="3" s="1"/>
  <c r="L12" i="6"/>
  <c r="J13" i="6"/>
  <c r="E13" i="3" s="1"/>
  <c r="K13" i="6"/>
  <c r="L13" i="6"/>
  <c r="J14" i="6"/>
  <c r="K14" i="6"/>
  <c r="L14" i="6"/>
  <c r="J15" i="6"/>
  <c r="K15" i="6"/>
  <c r="F15" i="3" s="1"/>
  <c r="L15" i="6"/>
  <c r="J16" i="6"/>
  <c r="E16" i="3" s="1"/>
  <c r="K16" i="6"/>
  <c r="F16" i="3" s="1"/>
  <c r="L16" i="6"/>
  <c r="G16" i="3" s="1"/>
  <c r="J17" i="6"/>
  <c r="E17" i="3" s="1"/>
  <c r="K17" i="6"/>
  <c r="L17" i="6"/>
  <c r="K7" i="6"/>
  <c r="L7" i="6"/>
  <c r="J7" i="6"/>
  <c r="L111" i="2"/>
  <c r="J111" i="2"/>
  <c r="F111" i="2"/>
  <c r="F11" i="3"/>
  <c r="G10" i="3"/>
  <c r="F10" i="3"/>
  <c r="F9" i="3"/>
  <c r="E7" i="3"/>
  <c r="G17" i="3"/>
  <c r="G15" i="3"/>
  <c r="G14" i="3"/>
  <c r="G13" i="3"/>
  <c r="G12" i="3"/>
  <c r="G11" i="3"/>
  <c r="F17" i="3"/>
  <c r="F18" i="3" s="1"/>
  <c r="E15" i="3"/>
  <c r="F14" i="3"/>
  <c r="E14" i="3"/>
  <c r="F13" i="3"/>
  <c r="E12" i="3"/>
  <c r="X36" i="6"/>
  <c r="W36" i="3"/>
  <c r="E147" i="2" l="1"/>
  <c r="E145" i="2" l="1"/>
  <c r="G23" i="2" l="1"/>
  <c r="O78" i="2" l="1"/>
  <c r="N78" i="2"/>
  <c r="E157" i="2" l="1"/>
  <c r="J27" i="2"/>
  <c r="L27" i="2" s="1"/>
  <c r="J22" i="2"/>
  <c r="L22" i="2" s="1"/>
  <c r="J20" i="2"/>
  <c r="L20" i="2" s="1"/>
  <c r="J21" i="2"/>
  <c r="L21" i="2" s="1"/>
  <c r="J19" i="2"/>
  <c r="L19" i="2" s="1"/>
  <c r="J108" i="2" l="1"/>
  <c r="J117" i="2"/>
  <c r="J118" i="2"/>
  <c r="J119" i="2"/>
  <c r="J120" i="2"/>
  <c r="J121" i="2"/>
  <c r="J122" i="2"/>
  <c r="J123" i="2"/>
  <c r="J116" i="2"/>
  <c r="J109" i="2"/>
  <c r="J110" i="2"/>
  <c r="J112" i="2"/>
  <c r="L116" i="2"/>
  <c r="L117" i="2"/>
  <c r="L118" i="2"/>
  <c r="L119" i="2"/>
  <c r="L120" i="2"/>
  <c r="L121" i="2"/>
  <c r="L122" i="2"/>
  <c r="L123" i="2"/>
  <c r="L109" i="2"/>
  <c r="L110" i="2"/>
  <c r="L112" i="2"/>
  <c r="L108" i="2"/>
  <c r="M108" i="2" s="1"/>
  <c r="J113" i="2" l="1"/>
  <c r="J124" i="2"/>
  <c r="L113" i="2"/>
  <c r="L124" i="2"/>
  <c r="F41" i="2"/>
  <c r="F40" i="2"/>
  <c r="F54" i="2" l="1"/>
  <c r="G125" i="2"/>
  <c r="F110" i="2" l="1"/>
  <c r="F116" i="2" l="1"/>
  <c r="E22" i="2" l="1"/>
  <c r="P78" i="2" l="1"/>
  <c r="E78" i="2" s="1"/>
  <c r="F112" i="2"/>
  <c r="F118" i="2"/>
  <c r="F117" i="2"/>
  <c r="F119" i="2"/>
  <c r="F120" i="2"/>
  <c r="F121" i="2"/>
  <c r="F122" i="2"/>
  <c r="F123" i="2"/>
  <c r="F109" i="2"/>
  <c r="F108" i="2"/>
  <c r="E149" i="2" l="1"/>
  <c r="E80" i="2"/>
  <c r="D153" i="2"/>
  <c r="D155" i="2"/>
  <c r="D125" i="2"/>
  <c r="D92" i="2"/>
  <c r="E54" i="2"/>
  <c r="E63" i="2" l="1"/>
  <c r="D55" i="2"/>
  <c r="E65" i="2"/>
  <c r="E151" i="2"/>
  <c r="D157" i="2" l="1"/>
  <c r="E85" i="2" l="1"/>
  <c r="E87" i="2" s="1"/>
  <c r="E67" i="2" l="1"/>
  <c r="E69" i="2" s="1"/>
  <c r="E71" i="2" s="1"/>
  <c r="E92" i="2" s="1"/>
  <c r="E125" i="2" s="1"/>
  <c r="E73" i="2" l="1"/>
  <c r="E155" i="2" l="1"/>
  <c r="E153" i="2"/>
  <c r="E161" i="2" l="1"/>
</calcChain>
</file>

<file path=xl/sharedStrings.xml><?xml version="1.0" encoding="utf-8"?>
<sst xmlns="http://schemas.openxmlformats.org/spreadsheetml/2006/main" count="429" uniqueCount="374">
  <si>
    <t>EXECUTIVE OFFICE OF HOUSING AND LIVABLE COMMUNITIES
Local Housing Authority Executive Director Salary Calculation Worksheet</t>
  </si>
  <si>
    <t xml:space="preserve"> </t>
  </si>
  <si>
    <t>Effective for Fiscal Years Beginning: July 1, 2025, October 1, 2025, January 1, 2026, April 1, 2026 V2.5</t>
  </si>
  <si>
    <t xml:space="preserve">Instructions: </t>
  </si>
  <si>
    <r>
      <t xml:space="preserve">Use this Worksheet to determine the LHA Calculated Salary Maximum and to enter the Board-Approved Salary. Print and submit this Worksheet signed by the Board Chair to your Housing Management Specialist (HMS) by email only </t>
    </r>
    <r>
      <rPr>
        <i/>
        <sz val="16"/>
        <rFont val="Calibri "/>
      </rPr>
      <t>no later than your LHA's budget submission/revision deadline</t>
    </r>
    <r>
      <rPr>
        <i/>
        <sz val="16"/>
        <color theme="1"/>
        <rFont val="Calibri "/>
      </rPr>
      <t xml:space="preserve">. An executive director of two LHAs (Dual ED) will need to submit two Worksheets, one for each LHA. </t>
    </r>
  </si>
  <si>
    <r>
      <t>Enter data in clear cells only (see Worksheet sections with this arrow (</t>
    </r>
    <r>
      <rPr>
        <sz val="16"/>
        <color theme="1"/>
        <rFont val="Wingdings"/>
        <charset val="2"/>
      </rPr>
      <t>è</t>
    </r>
    <r>
      <rPr>
        <i/>
        <sz val="16"/>
        <color theme="1"/>
        <rFont val="Calibri "/>
      </rPr>
      <t xml:space="preserve">) </t>
    </r>
  </si>
  <si>
    <t>Gray cells will auto-calculate</t>
  </si>
  <si>
    <t xml:space="preserve">LHA Info: </t>
  </si>
  <si>
    <t>è</t>
  </si>
  <si>
    <t xml:space="preserve">LHA Name:  </t>
  </si>
  <si>
    <t xml:space="preserve">LHA Office Hours:  </t>
  </si>
  <si>
    <t xml:space="preserve">Executive Director: </t>
  </si>
  <si>
    <r>
      <t xml:space="preserve">Current </t>
    </r>
    <r>
      <rPr>
        <u/>
        <sz val="16"/>
        <color theme="1"/>
        <rFont val="Calibri "/>
      </rPr>
      <t>Required</t>
    </r>
    <r>
      <rPr>
        <sz val="16"/>
        <color theme="1"/>
        <rFont val="Calibri "/>
      </rPr>
      <t xml:space="preserve"> Work Hours / Week: </t>
    </r>
  </si>
  <si>
    <t>(Full Time Executive Director, enter 37.5)</t>
  </si>
  <si>
    <t>(Dual EDs enter current required work hours for one LHA only)</t>
  </si>
  <si>
    <t>For Existing Executive Directors Only:</t>
  </si>
  <si>
    <t xml:space="preserve">Enter all sources composite salary from most recent EOHLC-approved budget (Current Approved Salary): </t>
  </si>
  <si>
    <t>Step 1.</t>
  </si>
  <si>
    <t>Determine LHA's Size by the Total Number of Units</t>
  </si>
  <si>
    <r>
      <rPr>
        <b/>
        <i/>
        <sz val="16"/>
        <rFont val="Calibri "/>
      </rPr>
      <t xml:space="preserve">
Note: </t>
    </r>
    <r>
      <rPr>
        <i/>
        <sz val="16"/>
        <rFont val="Calibri "/>
      </rPr>
      <t>Count only the units that are owned and operated by the LHA from programs that have created housing for income-eligible households, and count only the units currently “leased,”</t>
    </r>
    <r>
      <rPr>
        <sz val="16"/>
        <rFont val="Calibri "/>
      </rPr>
      <t xml:space="preserve"> not </t>
    </r>
    <r>
      <rPr>
        <i/>
        <sz val="16"/>
        <rFont val="Calibri "/>
      </rPr>
      <t xml:space="preserve">“contracted” for the LHA's voucher programs which are administered by the LHA. </t>
    </r>
    <r>
      <rPr>
        <i/>
        <sz val="16"/>
        <color rgb="FFFF0000"/>
        <rFont val="Calibri "/>
      </rPr>
      <t xml:space="preserve">Chapter 167 and Chapter 689 developments count as a single program. 
</t>
    </r>
    <r>
      <rPr>
        <i/>
        <sz val="16"/>
        <rFont val="Calibri "/>
      </rPr>
      <t xml:space="preserve">
</t>
    </r>
    <r>
      <rPr>
        <i/>
        <u/>
        <sz val="16"/>
        <rFont val="Calibri "/>
      </rPr>
      <t>Do not include</t>
    </r>
    <r>
      <rPr>
        <i/>
        <sz val="16"/>
        <rFont val="Calibri "/>
      </rPr>
      <t xml:space="preserve"> units or vouchers where the LHA does not own the unit or receive direct funding to administer the voucher, but instead receives a fee pursuant to a Management Services Agreement, or by another contract with a separate public or private entity where the contract is temporary or otherwise may terminate. Do not count resident service programs such as ABL, FSS, or MassLEAP. 
Enter all information into the chart below. Please note that this Calculation Worksheet </t>
    </r>
    <r>
      <rPr>
        <i/>
        <u/>
        <sz val="16"/>
        <rFont val="Calibri "/>
      </rPr>
      <t>does not</t>
    </r>
    <r>
      <rPr>
        <i/>
        <sz val="16"/>
        <rFont val="Calibri "/>
      </rPr>
      <t xml:space="preserve"> pro-rate salary share. 
</t>
    </r>
  </si>
  <si>
    <t xml:space="preserve">  </t>
  </si>
  <si>
    <t>Program</t>
  </si>
  <si>
    <t>All Units</t>
  </si>
  <si>
    <t xml:space="preserve"> State Family Units</t>
  </si>
  <si>
    <t>Chapter 200</t>
  </si>
  <si>
    <t>Chapter 705</t>
  </si>
  <si>
    <t>Chapter 667 Regular</t>
  </si>
  <si>
    <t>Chapter 667 Congregate</t>
  </si>
  <si>
    <r>
      <t xml:space="preserve">Chapters 689 </t>
    </r>
    <r>
      <rPr>
        <b/>
        <sz val="16"/>
        <color rgb="FFFF0000"/>
        <rFont val="Calibri "/>
      </rPr>
      <t>and 167</t>
    </r>
  </si>
  <si>
    <t>Massachusetts Rental Assistance Program (MRVP)</t>
  </si>
  <si>
    <t>Alternative Housing Voucher Program (AHVP)</t>
  </si>
  <si>
    <t>Federal Conventional Public Housing</t>
  </si>
  <si>
    <t>Section 8 Housing Choice Voucher Program (HCVP)</t>
  </si>
  <si>
    <t>Section 8 New Construction / Substantial Rehabilitation</t>
  </si>
  <si>
    <t xml:space="preserve">Section 8 Moderate Rehab </t>
  </si>
  <si>
    <r>
      <t>Other(s) (</t>
    </r>
    <r>
      <rPr>
        <sz val="16"/>
        <color theme="1"/>
        <rFont val="Calibri "/>
      </rPr>
      <t>Local</t>
    </r>
    <r>
      <rPr>
        <b/>
        <sz val="16"/>
        <color theme="1"/>
        <rFont val="Calibri "/>
      </rPr>
      <t xml:space="preserve"> </t>
    </r>
    <r>
      <rPr>
        <sz val="16"/>
        <color theme="1"/>
        <rFont val="Calibri "/>
      </rPr>
      <t xml:space="preserve">program(s) </t>
    </r>
    <r>
      <rPr>
        <i/>
        <sz val="14"/>
        <color theme="1"/>
        <rFont val="Calibri "/>
      </rPr>
      <t>Do not count resident service programs such as ABL, FSS or MassLEAP)</t>
    </r>
  </si>
  <si>
    <r>
      <rPr>
        <b/>
        <sz val="16"/>
        <color theme="1"/>
        <rFont val="Calibri "/>
      </rPr>
      <t>Other(s)</t>
    </r>
    <r>
      <rPr>
        <i/>
        <sz val="14"/>
        <color theme="1"/>
        <rFont val="Calibri "/>
      </rPr>
      <t xml:space="preserve"> </t>
    </r>
    <r>
      <rPr>
        <i/>
        <sz val="16"/>
        <color theme="1"/>
        <rFont val="Calibri "/>
      </rPr>
      <t>(Local program approved prior to the FY’24.)</t>
    </r>
  </si>
  <si>
    <r>
      <t>Other(s)</t>
    </r>
    <r>
      <rPr>
        <i/>
        <sz val="16"/>
        <rFont val="Calibri "/>
      </rPr>
      <t xml:space="preserve"> (Local program approved prior to the FY’24.</t>
    </r>
    <r>
      <rPr>
        <b/>
        <i/>
        <sz val="16"/>
        <rFont val="Calibri "/>
      </rPr>
      <t>)</t>
    </r>
  </si>
  <si>
    <t>Total Units</t>
  </si>
  <si>
    <t xml:space="preserve">Does the LHA participate in the following programs for LHA-owned c. 200, 705, or 667 units? </t>
  </si>
  <si>
    <r>
      <t xml:space="preserve">Supportive Senior Housing Initiative (through the Executive Office of Elder Affairs) </t>
    </r>
    <r>
      <rPr>
        <i/>
        <sz val="16"/>
        <color theme="1"/>
        <rFont val="Calibri "/>
      </rPr>
      <t xml:space="preserve"> </t>
    </r>
  </si>
  <si>
    <t xml:space="preserve">Local Housing Authority Transitional Housing Program (LHATHP) </t>
  </si>
  <si>
    <t>Step 2.</t>
  </si>
  <si>
    <t>Full Time Unit-Based Salary</t>
  </si>
  <si>
    <t>(Auto-calculates)</t>
  </si>
  <si>
    <t xml:space="preserve">Maximum Salary from "At Lowest Unit Count in Range" </t>
  </si>
  <si>
    <t>Incremental Units</t>
  </si>
  <si>
    <t>Increment Factor</t>
  </si>
  <si>
    <t>Incremental Salary</t>
  </si>
  <si>
    <t>Full Time Unit-Based Salary Maximum</t>
  </si>
  <si>
    <t>&lt;&lt;&lt; updated formula to include new LHA salary max of $189k</t>
  </si>
  <si>
    <t>Part Time (Prorated) Unit-Based Salary</t>
  </si>
  <si>
    <t xml:space="preserve">Step 3. </t>
  </si>
  <si>
    <t>Program Factor</t>
  </si>
  <si>
    <t xml:space="preserve">Number of Programs </t>
  </si>
  <si>
    <t>Applicable Program Factor</t>
  </si>
  <si>
    <t xml:space="preserve">Step 4. </t>
  </si>
  <si>
    <t>Family Factor</t>
  </si>
  <si>
    <t xml:space="preserve">Number of Family Units </t>
  </si>
  <si>
    <t>Applicable Family Factor</t>
  </si>
  <si>
    <t xml:space="preserve">Step 5. </t>
  </si>
  <si>
    <t>LHA Calculated Salary Maximum (Not to Exceed $214,726)</t>
  </si>
  <si>
    <r>
      <rPr>
        <b/>
        <i/>
        <sz val="16"/>
        <color theme="1"/>
        <rFont val="Calibri "/>
      </rPr>
      <t xml:space="preserve">
Note:</t>
    </r>
    <r>
      <rPr>
        <i/>
        <sz val="16"/>
        <color theme="1"/>
        <rFont val="Calibri "/>
      </rPr>
      <t xml:space="preserve"> The LHA Calculated Salary Maximum is the maximum annual salary that an executive director may receive, not to exceed</t>
    </r>
    <r>
      <rPr>
        <i/>
        <sz val="16"/>
        <color rgb="FFFF0000"/>
        <rFont val="Calibri "/>
      </rPr>
      <t xml:space="preserve"> $214,726,</t>
    </r>
    <r>
      <rPr>
        <i/>
        <sz val="16"/>
        <color theme="1"/>
        <rFont val="Calibri "/>
      </rPr>
      <t xml:space="preserve"> the Salary Cap for an executive director directly employed by one or two LHAs.  
 </t>
    </r>
  </si>
  <si>
    <t xml:space="preserve">Step 6. </t>
  </si>
  <si>
    <r>
      <rPr>
        <b/>
        <sz val="18"/>
        <color rgb="FF000000"/>
        <rFont val="Calibri"/>
        <family val="2"/>
      </rPr>
      <t xml:space="preserve">Salary from Other Sources / Program Activities (Not to Exceed </t>
    </r>
    <r>
      <rPr>
        <b/>
        <sz val="18"/>
        <color rgb="FFFF0000"/>
        <rFont val="Calibri"/>
        <family val="2"/>
      </rPr>
      <t>[$236,198]</t>
    </r>
    <r>
      <rPr>
        <b/>
        <sz val="18"/>
        <color rgb="FF000000"/>
        <rFont val="Calibri"/>
        <family val="2"/>
      </rPr>
      <t>)</t>
    </r>
  </si>
  <si>
    <r>
      <rPr>
        <b/>
        <i/>
        <sz val="16"/>
        <color rgb="FF000000"/>
        <rFont val="Calibri"/>
        <family val="2"/>
      </rPr>
      <t xml:space="preserve">Note: </t>
    </r>
    <r>
      <rPr>
        <i/>
        <sz val="16"/>
        <color rgb="FF000000"/>
        <rFont val="Calibri"/>
        <family val="2"/>
      </rPr>
      <t xml:space="preserve">Include here all salary from other program activities, if any (i.e. Management Services Agreements and other contracts with public and private entities that are temporary or otherwise may terminate). Resident service programs such as ABL, FSS, or MassLEAP do not count as Other Program Activities. This amount is the LHA Calculated Salary Maximum plus salary from all other program activities and contracts, and must not exceed </t>
    </r>
    <r>
      <rPr>
        <i/>
        <sz val="16"/>
        <color rgb="FFFF0000"/>
        <rFont val="Calibri"/>
        <family val="2"/>
      </rPr>
      <t>$236,198.00</t>
    </r>
  </si>
  <si>
    <t>&lt;&lt;&lt; what is the new global max for this salary schedule; I have $208k based on current $198k max x 5.05%. May want to update language that fees over cap must be taken as bonus</t>
  </si>
  <si>
    <t>Enter Salary from Management Services Agreeement Fees (if applicable)</t>
  </si>
  <si>
    <t>Owner LHA</t>
  </si>
  <si>
    <t>Management Services Agreement #1</t>
  </si>
  <si>
    <t>Management Services Agreement #2</t>
  </si>
  <si>
    <t>Management Services Agreement #3</t>
  </si>
  <si>
    <t>Management Services Agreement #4</t>
  </si>
  <si>
    <t>Management Services Agreement #5</t>
  </si>
  <si>
    <t>Enter Salary from Other Program Activities / Contract Fees (if applicable)</t>
  </si>
  <si>
    <t>Source / Description</t>
  </si>
  <si>
    <t>Other Program Activity / Contract #1</t>
  </si>
  <si>
    <t>Other Program Activity / Contract #2</t>
  </si>
  <si>
    <t>Other Program Activity / Contract #3</t>
  </si>
  <si>
    <t>Other Program Activity / Contract #4</t>
  </si>
  <si>
    <t>Other Program Activity / Contract #5</t>
  </si>
  <si>
    <t>Other Program Activity / Contract #6</t>
  </si>
  <si>
    <t>Other Program Activity / Contract #7</t>
  </si>
  <si>
    <t>Other Program Activity / Contract #8</t>
  </si>
  <si>
    <t>&lt;&lt;&lt; need to add the new global maximum to the excel formula</t>
  </si>
  <si>
    <t>Step 7.</t>
  </si>
  <si>
    <t xml:space="preserve">Board-Approved Salary </t>
  </si>
  <si>
    <t xml:space="preserve">Note: Board-Approved Salary is not to exceed the lesser of the LHA Calculated Salary Maximum or $214,726.00 for executive directors directly employed by one or two LHAs (see Step 5, above). 
For executive directors that also receive salary from Management Services Agreement(s) or from other program activities, the LHA Calculated Salary Maximum plus that additional salary (total salary) may not exceed $236,198 per year (see Step 6, above).
Exception: if an existing executive director’s Current Approved Salary exceeds the maximum in Step 5 or Step 6 above, enter the Current Approved Salary in "Enter Board-Approved Salary" below and check the applicable box. The Current Approved Salary will remain the same until EOHLC publishes a new Salary Schedule and the Current Approved Salary does not exceed the new limits. </t>
  </si>
  <si>
    <t xml:space="preserve">&lt;&lt;&lt; what is the new global max for this salary schedule; I have $208k based on current $198k max x 5.05% </t>
  </si>
  <si>
    <t xml:space="preserve">Note: Executive Director salary increases must be: absorbed within the LHA’s ANUEL as published in the most current EOHLC Budget Guidelines; receive Board approval after the Board considers and carefully analyzes potential short and long-term impacts that a salary increase may have on the LHA’s overall operating needs; determines that the increase is reflective of the executive director’s performance to-date; is calculated in accordance with this Schedule; and granted only if the LHA is in conformance with applicable guidelines and all other rules and regulations in effect during the executive director’s contract term. </t>
  </si>
  <si>
    <t>Summary</t>
  </si>
  <si>
    <t xml:space="preserve">Local Housing Authority: </t>
  </si>
  <si>
    <t xml:space="preserve">Total Programs: </t>
  </si>
  <si>
    <t>Total Units:</t>
  </si>
  <si>
    <t>Enter Board-Approved Salary</t>
  </si>
  <si>
    <t xml:space="preserve">Use this salary in LHA budget submission to EOHLC </t>
  </si>
  <si>
    <t xml:space="preserve">For Existing Executive Directors (check applicable box): </t>
  </si>
  <si>
    <t>ED is eligible for a salary increase up to the LHA Calculated Salary Maximum</t>
  </si>
  <si>
    <t xml:space="preserve">ED is not eligible for a salary increase, and will stay at the Current Approved Salary  </t>
  </si>
  <si>
    <t>Signature of LHA Chairperson: _____________________________________________________</t>
  </si>
  <si>
    <t xml:space="preserve">Date: </t>
  </si>
  <si>
    <t>____________</t>
  </si>
  <si>
    <t>Print Name: ______________________________________________________________________</t>
  </si>
  <si>
    <t>Print and submit this signed Executive Director’s Salary Calculation Worksheet by email only to the LHA’s Housing Management Specialist on or before the EOHLC Budget Submission / Revision Deadline for your LHA.</t>
  </si>
  <si>
    <t>Abington Housing Authority</t>
  </si>
  <si>
    <t>Acton Housing Authority</t>
  </si>
  <si>
    <t>Acushnet Housing Authority</t>
  </si>
  <si>
    <t>Adams Housing Authority</t>
  </si>
  <si>
    <t>Agawam Housing Authority</t>
  </si>
  <si>
    <t>Amesbury Housing Authority</t>
  </si>
  <si>
    <t>Amherst Housing Authority</t>
  </si>
  <si>
    <t>Andover Housing Authority</t>
  </si>
  <si>
    <t>Arlington Housing Authority</t>
  </si>
  <si>
    <t>Ashland Housing Authority</t>
  </si>
  <si>
    <t>Athol Housing Authority</t>
  </si>
  <si>
    <t>Attleboro Housing Authority</t>
  </si>
  <si>
    <t>Auburn Housing Authority</t>
  </si>
  <si>
    <t>Avon Housing Authority</t>
  </si>
  <si>
    <t>Ayer Housing Authority</t>
  </si>
  <si>
    <t>Barnstable Housing Authority</t>
  </si>
  <si>
    <t>Barre Housing Authority</t>
  </si>
  <si>
    <t>Bedford Housing Authority</t>
  </si>
  <si>
    <t>Belchertown Housing Authority</t>
  </si>
  <si>
    <t>Bellingham Housing Authority</t>
  </si>
  <si>
    <t>Belmont Housing Authority</t>
  </si>
  <si>
    <t>Berkshire County Regional</t>
  </si>
  <si>
    <t>Beverly Housing Authority</t>
  </si>
  <si>
    <t>Billerica Housing Authority</t>
  </si>
  <si>
    <t>Blackstone Housing Authority</t>
  </si>
  <si>
    <t>Boston Housing Authority</t>
  </si>
  <si>
    <t>Bourne Housing Authority</t>
  </si>
  <si>
    <t>Braintree Housing Authority</t>
  </si>
  <si>
    <t>Brewster Housing Authority</t>
  </si>
  <si>
    <t>Bridgewater Housing Authority</t>
  </si>
  <si>
    <t>Brimfield Housing Authority</t>
  </si>
  <si>
    <t>Brockton Housing Authority</t>
  </si>
  <si>
    <t>Brookfield Housing Authority</t>
  </si>
  <si>
    <t>Brookline Housing Authority</t>
  </si>
  <si>
    <t>Burlington Housing Authority</t>
  </si>
  <si>
    <t>Cambridge Housing Authority</t>
  </si>
  <si>
    <t>Canton Housing Authority</t>
  </si>
  <si>
    <t>Carver Housing Authority</t>
  </si>
  <si>
    <t>Charlton Housing Authority</t>
  </si>
  <si>
    <t>Chatham Housing Authority</t>
  </si>
  <si>
    <t>Chelmsford Housing Authority</t>
  </si>
  <si>
    <t>Chelsea Housing Authority</t>
  </si>
  <si>
    <t>Chicopee Housing Authority</t>
  </si>
  <si>
    <t>Clinton Housing Authority</t>
  </si>
  <si>
    <t>Cohasset Housing Authority</t>
  </si>
  <si>
    <t>Concord Housing Authority</t>
  </si>
  <si>
    <t>Dalton Housing Authority</t>
  </si>
  <si>
    <t>Danvers Housing Authority</t>
  </si>
  <si>
    <t>Dartmouth Housing Authority</t>
  </si>
  <si>
    <t>Dedham Housing Authority</t>
  </si>
  <si>
    <t>Dennis Housing Authority</t>
  </si>
  <si>
    <t>Dighton Housing Authority</t>
  </si>
  <si>
    <t>Dracut Housing Authority</t>
  </si>
  <si>
    <t>Dudley Housing Authority</t>
  </si>
  <si>
    <t>Dukes County Regional</t>
  </si>
  <si>
    <t>Duxbury Housing Authority</t>
  </si>
  <si>
    <t>East Bridgewater Housing Authority</t>
  </si>
  <si>
    <t>East Longmeadow Housing Authority</t>
  </si>
  <si>
    <t>Easthampton Housing Authority</t>
  </si>
  <si>
    <t>Easton Housing Authority</t>
  </si>
  <si>
    <t>Essex Housing Authority</t>
  </si>
  <si>
    <t>Everett Housing Authority</t>
  </si>
  <si>
    <t>Fairhaven Housing Authority</t>
  </si>
  <si>
    <t>Fall River Housing Authority</t>
  </si>
  <si>
    <t>Falmouth Housing Authority</t>
  </si>
  <si>
    <t>Fitchburg Housing Authority</t>
  </si>
  <si>
    <t>Foxborough Housing Authority</t>
  </si>
  <si>
    <t>Framingham Housing Authority</t>
  </si>
  <si>
    <t xml:space="preserve">Franklin County Regional </t>
  </si>
  <si>
    <t>Franklin Housing Authority</t>
  </si>
  <si>
    <t>Gardner Housing Authority</t>
  </si>
  <si>
    <t>Georgetown Housing Authority</t>
  </si>
  <si>
    <t>Gloucester Housing Authority</t>
  </si>
  <si>
    <t>Grafton Housing Authority</t>
  </si>
  <si>
    <t>Granby Housing Authority</t>
  </si>
  <si>
    <t>Great Barrington Housing Authority</t>
  </si>
  <si>
    <t>Greenfield Housing Authority</t>
  </si>
  <si>
    <t>Groton Housing Authority</t>
  </si>
  <si>
    <t>Groveland Housing Authority</t>
  </si>
  <si>
    <t>Hadley Housing Authority</t>
  </si>
  <si>
    <t>Halifax Housing Authority</t>
  </si>
  <si>
    <t>Hamilton Housing Authority</t>
  </si>
  <si>
    <t>Hampden Housing Authority</t>
  </si>
  <si>
    <t>Hampshire County Regional</t>
  </si>
  <si>
    <t>Hanson Housing Authority</t>
  </si>
  <si>
    <t>Harwich Housing Authority</t>
  </si>
  <si>
    <t>Hatfield Housing Authority</t>
  </si>
  <si>
    <t>Haverhill Housing Authority</t>
  </si>
  <si>
    <t>Hingham Housing Authority</t>
  </si>
  <si>
    <t>Holbrook Housing Authority</t>
  </si>
  <si>
    <t>Holden Housing Authority</t>
  </si>
  <si>
    <t>Holliston Housing Authority</t>
  </si>
  <si>
    <t>Holyoke Housing Authority</t>
  </si>
  <si>
    <t>Hopedale Housing Authority</t>
  </si>
  <si>
    <t>Hopkinton Housing Authority</t>
  </si>
  <si>
    <t>Hudson Housing Authority</t>
  </si>
  <si>
    <t>Hull Housing Authority</t>
  </si>
  <si>
    <t>Ipswich Housing Authority</t>
  </si>
  <si>
    <t>Kingston Housing Authority</t>
  </si>
  <si>
    <t>Lancaster Housing Authority</t>
  </si>
  <si>
    <t>Lawrence Housing Authority</t>
  </si>
  <si>
    <t>Lee Housing Authority</t>
  </si>
  <si>
    <t>Leicester Housing Authority</t>
  </si>
  <si>
    <t>Lenox Housing Authority</t>
  </si>
  <si>
    <t>Leominster Housing Authority</t>
  </si>
  <si>
    <t>Lexington Housing Authority</t>
  </si>
  <si>
    <t>Littleton Housing Authority</t>
  </si>
  <si>
    <t>Lowell Housing Authority</t>
  </si>
  <si>
    <t>Ludlow Housing Authority</t>
  </si>
  <si>
    <t>Lunenburg Housing Authority</t>
  </si>
  <si>
    <t>Lynn Housing Authority</t>
  </si>
  <si>
    <t>Lynnfield Housing Authority</t>
  </si>
  <si>
    <t>Malden Housing Authority</t>
  </si>
  <si>
    <t>Manchester Housing Authority</t>
  </si>
  <si>
    <t>Mansfield Housing Authority</t>
  </si>
  <si>
    <t>Marblehead Housing Authority</t>
  </si>
  <si>
    <t>Marlborough CD Authority</t>
  </si>
  <si>
    <t>Marshfield Housing Authority</t>
  </si>
  <si>
    <t>Mashpee Housing Authority</t>
  </si>
  <si>
    <t>Mattapoisett Housing Authority</t>
  </si>
  <si>
    <t>Maynard Housing Authority</t>
  </si>
  <si>
    <t>Medfield Housing Authority</t>
  </si>
  <si>
    <t>Medford Housing Authority</t>
  </si>
  <si>
    <t>Medway Housing Authority</t>
  </si>
  <si>
    <t>Melrose Housing Authority</t>
  </si>
  <si>
    <t>Mendon Housing Authority</t>
  </si>
  <si>
    <t>Merrimac Housing Authority</t>
  </si>
  <si>
    <t>Methuen Housing Authority</t>
  </si>
  <si>
    <t>Middleborough Housing Authority</t>
  </si>
  <si>
    <t>Middleton Housing Authority</t>
  </si>
  <si>
    <t>Milford Housing Authority</t>
  </si>
  <si>
    <t>Millbury Housing Authority</t>
  </si>
  <si>
    <t>Millis Housing Authority</t>
  </si>
  <si>
    <t>Milton Housing Authority</t>
  </si>
  <si>
    <t>Monson Housing Authority</t>
  </si>
  <si>
    <t>Montague Housing Authority</t>
  </si>
  <si>
    <t>Nahant Housing Authority</t>
  </si>
  <si>
    <t>Nantucket Housing Authority</t>
  </si>
  <si>
    <t>Natick Housing Authority</t>
  </si>
  <si>
    <t>Needham Housing Authority</t>
  </si>
  <si>
    <t>New Bedford Housing Authority</t>
  </si>
  <si>
    <t>Newburyport Housing Authority</t>
  </si>
  <si>
    <t>Newton Housing Authority</t>
  </si>
  <si>
    <t>Norfolk Housing Authority</t>
  </si>
  <si>
    <t>North Adams Housing Authority</t>
  </si>
  <si>
    <t>North Andover Housing Authority</t>
  </si>
  <si>
    <t>North Attleborough Housing Authority</t>
  </si>
  <si>
    <t>North Brookfield Housing Authority</t>
  </si>
  <si>
    <t>North Reading Housing Authority</t>
  </si>
  <si>
    <t>Northampton Housing Authority</t>
  </si>
  <si>
    <t>Northborough Housing Authority</t>
  </si>
  <si>
    <t>Northbridge Housing Authority</t>
  </si>
  <si>
    <t>Norton Housing Authority</t>
  </si>
  <si>
    <t>Norwell Housing Authority</t>
  </si>
  <si>
    <t>Norwood Housing Authority</t>
  </si>
  <si>
    <t>Orange Housing Authority</t>
  </si>
  <si>
    <t>Orleans Housing Authority</t>
  </si>
  <si>
    <t>Oxford Housing Authority</t>
  </si>
  <si>
    <t>Palmer Housing Authority</t>
  </si>
  <si>
    <t>Peabody Housing Authority</t>
  </si>
  <si>
    <t>Pembroke Housing Authority</t>
  </si>
  <si>
    <t>Pepperell Housing Authority</t>
  </si>
  <si>
    <t>Pittsfield Housing Authority</t>
  </si>
  <si>
    <t>Plainville Housing Authority</t>
  </si>
  <si>
    <t>Plymouth Housing Authority</t>
  </si>
  <si>
    <t>Provincetown Housing Authority</t>
  </si>
  <si>
    <t>Quincy Housing Authority</t>
  </si>
  <si>
    <t>Randolph Housing Authority</t>
  </si>
  <si>
    <t>Raynham Housing Authority</t>
  </si>
  <si>
    <t>Reading Housing Authority</t>
  </si>
  <si>
    <t>Revere Housing Authority</t>
  </si>
  <si>
    <t>Rockland Housing Authority</t>
  </si>
  <si>
    <t>Rockport Housing Authority</t>
  </si>
  <si>
    <t>Rowley Housing Authority</t>
  </si>
  <si>
    <t>Salem Housing Authority</t>
  </si>
  <si>
    <t>Salisbury Housing Authority</t>
  </si>
  <si>
    <t>Sandwich Housing Authority</t>
  </si>
  <si>
    <t>Saugus Housing Authority</t>
  </si>
  <si>
    <t>Scituate Housing Authority</t>
  </si>
  <si>
    <t>Seekonk Housing Authority</t>
  </si>
  <si>
    <t>Sharon Housing Authority</t>
  </si>
  <si>
    <t>Shelburne Housing Authority</t>
  </si>
  <si>
    <t>Shrewsbury Housing Authority</t>
  </si>
  <si>
    <t>Somerset Housing Authority</t>
  </si>
  <si>
    <t>Somerville Housing Authority</t>
  </si>
  <si>
    <t>South Hadley Housing Authority</t>
  </si>
  <si>
    <t>Southborough Housing Authority</t>
  </si>
  <si>
    <t>Southbridge Housing Authority</t>
  </si>
  <si>
    <t>Southwick Housing Authority</t>
  </si>
  <si>
    <t>Spencer Housing Authority</t>
  </si>
  <si>
    <t>Springfield Housing Authority</t>
  </si>
  <si>
    <t>Sterling Housing Authority</t>
  </si>
  <si>
    <t>Stockbridge Housing Authority</t>
  </si>
  <si>
    <t>Stoneham Housing Authority</t>
  </si>
  <si>
    <t>Stoughton Housing Authority</t>
  </si>
  <si>
    <t>Sudbury Housing Authority</t>
  </si>
  <si>
    <t>Sutton Housing Authority</t>
  </si>
  <si>
    <t>Swampscott Housing Authority</t>
  </si>
  <si>
    <t>Swansea Housing Authority</t>
  </si>
  <si>
    <t>Taunton Housing Authority</t>
  </si>
  <si>
    <t>Templeton Housing Authority</t>
  </si>
  <si>
    <t>Tewksbury Housing Authority</t>
  </si>
  <si>
    <t>Topsfield Housing Authority</t>
  </si>
  <si>
    <t>Tyngsborough Housing Authority</t>
  </si>
  <si>
    <t>Upton Housing Authority</t>
  </si>
  <si>
    <t>Uxbridge Housing Authority</t>
  </si>
  <si>
    <t>Wakefield Housing Authority</t>
  </si>
  <si>
    <t>Walpole Housing Authority</t>
  </si>
  <si>
    <t>Waltham Housing Authority</t>
  </si>
  <si>
    <t>Ware Housing Authority</t>
  </si>
  <si>
    <t>Wareham Housing Authority</t>
  </si>
  <si>
    <t>Warren Housing Authority</t>
  </si>
  <si>
    <t>Watertown Housing Authority</t>
  </si>
  <si>
    <t>Webster Housing Authority</t>
  </si>
  <si>
    <t>Wellesley Housing Authority</t>
  </si>
  <si>
    <t>Wenham Housing Authority</t>
  </si>
  <si>
    <t>West Boylston Housing Authority</t>
  </si>
  <si>
    <t>West Bridgewater Housing Authority</t>
  </si>
  <si>
    <t>West Brookfield Housing Authority</t>
  </si>
  <si>
    <t>West Newbury Housing Authority</t>
  </si>
  <si>
    <t>West Springfield Housing Authority</t>
  </si>
  <si>
    <t>Westborough Housing Authority</t>
  </si>
  <si>
    <t>Westfield Housing Authority</t>
  </si>
  <si>
    <t>Westford Housing Authority</t>
  </si>
  <si>
    <t>Westport Housing Authority</t>
  </si>
  <si>
    <t>Weymouth Housing Authority</t>
  </si>
  <si>
    <t>Whitman Housing Authority</t>
  </si>
  <si>
    <t>Wilbraham Housing Authority</t>
  </si>
  <si>
    <t>Williamstown Housing Authority</t>
  </si>
  <si>
    <t>Wilmington Housing Authority</t>
  </si>
  <si>
    <t>Winchendon Housing Authority</t>
  </si>
  <si>
    <t>Winchester Housing Authority</t>
  </si>
  <si>
    <t>Winthrop Housing Authority</t>
  </si>
  <si>
    <t>Woburn Housing Authority</t>
  </si>
  <si>
    <t>Worcester Housing Authority</t>
  </si>
  <si>
    <t>Wrentham Housing Authority</t>
  </si>
  <si>
    <t>Yarmouth Housing Authority</t>
  </si>
  <si>
    <t>FY 2026 (Effective July 1, 2025 - June 30, 2026)</t>
  </si>
  <si>
    <t>FULL-TIME UNIT-BASED SALARY</t>
  </si>
  <si>
    <t>Base Number of Units</t>
  </si>
  <si>
    <t>At Lowest Unit Count in Range</t>
  </si>
  <si>
    <t>At Highest Unit Count in Range</t>
  </si>
  <si>
    <t xml:space="preserve"> 1 - 29</t>
  </si>
  <si>
    <t>30 - 59</t>
  </si>
  <si>
    <t>60 - 169</t>
  </si>
  <si>
    <t>170 - 399</t>
  </si>
  <si>
    <t>400 - 699</t>
  </si>
  <si>
    <t>700 - 999</t>
  </si>
  <si>
    <t>1000 - 1499</t>
  </si>
  <si>
    <t>1500 - 1999</t>
  </si>
  <si>
    <t>2000 - 2999</t>
  </si>
  <si>
    <t>3000 - 4999</t>
  </si>
  <si>
    <t>5000 - 7999</t>
  </si>
  <si>
    <t xml:space="preserve">EOHLC salary cap for single / dual LHA: </t>
  </si>
  <si>
    <t>PROGRAM FACTOR</t>
  </si>
  <si>
    <t>STATE FAMILY FACTOR</t>
  </si>
  <si>
    <t># of Programs</t>
  </si>
  <si>
    <t>Additional Compensa-tion</t>
  </si>
  <si>
    <t>Number of Chapter 200 / 705 Units Managed</t>
  </si>
  <si>
    <t>Additional Compensation</t>
  </si>
  <si>
    <t>1 - 49</t>
  </si>
  <si>
    <t>50 - 99</t>
  </si>
  <si>
    <t>100 - 199</t>
  </si>
  <si>
    <t>200 - 399</t>
  </si>
  <si>
    <t>700+</t>
  </si>
  <si>
    <t>Error</t>
  </si>
  <si>
    <t>FY 2025 (Effective July 1, 2024 - June 30, 2025)</t>
  </si>
  <si>
    <t>FY2026 Update (2%)</t>
  </si>
  <si>
    <t>Yes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</si>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</sst>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00%"/>
    <numFmt numFmtId="167" formatCode="_(&quot;$&quot;* #,##0.0_);_(&quot;$&quot;* \(#,##0.0\);_(&quot;$&quot;* &quot;-&quot;??_);_(@_)"/>
    <numFmt numFmtId="168" formatCode="&quot;$&quot;#,##0.00"/>
  </numFmts>
  <fonts count="64">
    <font>
      <sz val="11"/>
      <color theme="1"/>
      <name val="Calibri"/>
      <family val="2"/>
      <scheme val="minor"/>
    </font>
    <font>
      <sz val="11"/>
      <color theme="1"/>
      <name val="Calibri"/>
      <family val="2"/>
      <scheme val="minor"/>
    </font>
    <font>
      <sz val="12"/>
      <color theme="1"/>
      <name val="Times New Roman"/>
      <family val="1"/>
    </font>
    <font>
      <b/>
      <sz val="12"/>
      <color theme="1"/>
      <name val="Times New Roman"/>
      <family val="1"/>
    </font>
    <font>
      <sz val="12"/>
      <color rgb="FF000000"/>
      <name val="Times New Roman"/>
      <family val="1"/>
    </font>
    <font>
      <b/>
      <sz val="12"/>
      <color rgb="FF000000"/>
      <name val="Times New Roman"/>
      <family val="1"/>
    </font>
    <font>
      <sz val="12"/>
      <color theme="1"/>
      <name val="Calibri Light"/>
      <family val="2"/>
      <scheme val="major"/>
    </font>
    <font>
      <sz val="14"/>
      <color theme="1"/>
      <name val="Wingdings"/>
      <charset val="2"/>
    </font>
    <font>
      <sz val="14"/>
      <color theme="1"/>
      <name val="Calibri "/>
    </font>
    <font>
      <b/>
      <sz val="14"/>
      <color theme="1"/>
      <name val="Calibri "/>
    </font>
    <font>
      <i/>
      <sz val="14"/>
      <color theme="1"/>
      <name val="Calibri "/>
    </font>
    <font>
      <i/>
      <sz val="14"/>
      <color rgb="FFFF0000"/>
      <name val="Calibri "/>
    </font>
    <font>
      <b/>
      <sz val="18"/>
      <color theme="1"/>
      <name val="Calibri "/>
    </font>
    <font>
      <sz val="14"/>
      <color theme="1"/>
      <name val="Calibri"/>
      <family val="2"/>
      <scheme val="minor"/>
    </font>
    <font>
      <b/>
      <sz val="16"/>
      <color theme="1"/>
      <name val="Calibri "/>
    </font>
    <font>
      <sz val="16"/>
      <color theme="1"/>
      <name val="Wingdings"/>
      <charset val="2"/>
    </font>
    <font>
      <sz val="16"/>
      <color theme="1"/>
      <name val="Calibri "/>
    </font>
    <font>
      <sz val="16"/>
      <color theme="1"/>
      <name val="Calibri Light"/>
      <family val="2"/>
      <scheme val="major"/>
    </font>
    <font>
      <sz val="16"/>
      <name val="Wingdings"/>
      <charset val="2"/>
    </font>
    <font>
      <i/>
      <sz val="12"/>
      <color theme="1"/>
      <name val="Calibri Light"/>
      <family val="2"/>
      <scheme val="major"/>
    </font>
    <font>
      <b/>
      <sz val="18"/>
      <name val="Calibri "/>
    </font>
    <font>
      <sz val="18"/>
      <color theme="1"/>
      <name val="Wingdings"/>
      <charset val="2"/>
    </font>
    <font>
      <i/>
      <sz val="16"/>
      <name val="Calibri "/>
    </font>
    <font>
      <b/>
      <i/>
      <sz val="16"/>
      <name val="Calibri "/>
    </font>
    <font>
      <i/>
      <u/>
      <sz val="16"/>
      <name val="Calibri "/>
    </font>
    <font>
      <i/>
      <sz val="16"/>
      <color theme="1"/>
      <name val="Calibri "/>
    </font>
    <font>
      <u/>
      <sz val="16"/>
      <color theme="1"/>
      <name val="Calibri "/>
    </font>
    <font>
      <i/>
      <sz val="16"/>
      <color rgb="FFFF0000"/>
      <name val="Calibri "/>
    </font>
    <font>
      <b/>
      <sz val="16"/>
      <color rgb="FF000000"/>
      <name val="Calibri "/>
    </font>
    <font>
      <sz val="16"/>
      <name val="Calibri "/>
    </font>
    <font>
      <sz val="18"/>
      <color theme="1"/>
      <name val="Calibri "/>
    </font>
    <font>
      <b/>
      <i/>
      <sz val="16"/>
      <color theme="1"/>
      <name val="Calibri "/>
    </font>
    <font>
      <i/>
      <sz val="16"/>
      <color theme="1"/>
      <name val="Calibri Light"/>
      <family val="2"/>
      <scheme val="major"/>
    </font>
    <font>
      <b/>
      <sz val="22"/>
      <color theme="1"/>
      <name val="Calibri "/>
    </font>
    <font>
      <i/>
      <sz val="12"/>
      <color rgb="FFFF0000"/>
      <name val="Calibri "/>
    </font>
    <font>
      <sz val="12"/>
      <name val="Calibri Light"/>
      <family val="2"/>
      <scheme val="major"/>
    </font>
    <font>
      <sz val="12"/>
      <color theme="2" tint="-0.249977111117893"/>
      <name val="Calibri Light"/>
      <family val="2"/>
      <scheme val="major"/>
    </font>
    <font>
      <b/>
      <i/>
      <sz val="16"/>
      <color rgb="FFFF0000"/>
      <name val="Calibri "/>
    </font>
    <font>
      <sz val="12"/>
      <color rgb="FFFF0000"/>
      <name val="Calibri "/>
    </font>
    <font>
      <b/>
      <sz val="16"/>
      <name val="Calibri "/>
    </font>
    <font>
      <sz val="15"/>
      <color theme="1"/>
      <name val="Calibri Light"/>
      <family val="2"/>
      <scheme val="major"/>
    </font>
    <font>
      <sz val="15"/>
      <color theme="1"/>
      <name val="Calibri "/>
    </font>
    <font>
      <sz val="12"/>
      <color theme="1"/>
      <name val="Calibri "/>
    </font>
    <font>
      <sz val="18"/>
      <color rgb="FFFF0000"/>
      <name val="Calibri "/>
    </font>
    <font>
      <b/>
      <sz val="16"/>
      <color rgb="FFFF0000"/>
      <name val="Calibri "/>
    </font>
    <font>
      <sz val="22"/>
      <color theme="0"/>
      <name val="Calibri Light"/>
      <family val="2"/>
      <scheme val="major"/>
    </font>
    <font>
      <b/>
      <sz val="8"/>
      <color rgb="FFFF0000"/>
      <name val="Calibri"/>
      <family val="2"/>
      <scheme val="minor"/>
    </font>
    <font>
      <sz val="11"/>
      <color theme="0"/>
      <name val="Calibri"/>
      <family val="2"/>
      <scheme val="minor"/>
    </font>
    <font>
      <b/>
      <sz val="11"/>
      <name val="Calibri"/>
      <family val="2"/>
      <scheme val="minor"/>
    </font>
    <font>
      <sz val="12"/>
      <color theme="0"/>
      <name val="Times New Roman"/>
      <family val="1"/>
    </font>
    <font>
      <b/>
      <sz val="12"/>
      <color theme="1"/>
      <name val="Calibri "/>
    </font>
    <font>
      <sz val="11"/>
      <color theme="1"/>
      <name val="Times New Roman"/>
      <family val="1"/>
    </font>
    <font>
      <sz val="9"/>
      <color theme="1"/>
      <name val="Times New Roman"/>
      <family val="1"/>
    </font>
    <font>
      <b/>
      <sz val="8.5"/>
      <color theme="1"/>
      <name val="Times New Roman"/>
      <family val="1"/>
    </font>
    <font>
      <sz val="14"/>
      <color rgb="FF00B0F0"/>
      <name val="Calibri "/>
    </font>
    <font>
      <b/>
      <sz val="14"/>
      <color rgb="FF00B0F0"/>
      <name val="Calibri "/>
    </font>
    <font>
      <b/>
      <sz val="11"/>
      <color theme="1"/>
      <name val="Calibri"/>
      <family val="2"/>
      <scheme val="minor"/>
    </font>
    <font>
      <b/>
      <sz val="18"/>
      <color rgb="FF000000"/>
      <name val="Calibri"/>
      <family val="2"/>
    </font>
    <font>
      <b/>
      <sz val="18"/>
      <color rgb="FFFF0000"/>
      <name val="Calibri"/>
      <family val="2"/>
    </font>
    <font>
      <b/>
      <sz val="18"/>
      <color theme="1"/>
      <name val="Calibri"/>
      <family val="2"/>
    </font>
    <font>
      <b/>
      <i/>
      <sz val="16"/>
      <color rgb="FF000000"/>
      <name val="Calibri"/>
      <family val="2"/>
    </font>
    <font>
      <i/>
      <sz val="16"/>
      <color rgb="FF000000"/>
      <name val="Calibri"/>
      <family val="2"/>
    </font>
    <font>
      <i/>
      <sz val="16"/>
      <color rgb="FFFF0000"/>
      <name val="Calibri"/>
      <family val="2"/>
    </font>
    <font>
      <i/>
      <sz val="16"/>
      <color theme="1"/>
      <name val="Calibri"/>
      <family val="2"/>
    </font>
  </fonts>
  <fills count="9">
    <fill>
      <patternFill patternType="none"/>
    </fill>
    <fill>
      <patternFill patternType="gray125"/>
    </fill>
    <fill>
      <patternFill patternType="solid">
        <fgColor rgb="FFFFE599"/>
        <bgColor indexed="64"/>
      </patternFill>
    </fill>
    <fill>
      <patternFill patternType="solid">
        <fgColor rgb="FFFFFFFF"/>
        <bgColor indexed="64"/>
      </patternFill>
    </fill>
    <fill>
      <patternFill patternType="solid">
        <fgColor theme="0" tint="-0.14999847407452621"/>
        <bgColor indexed="64"/>
      </patternFill>
    </fill>
    <fill>
      <patternFill patternType="solid">
        <fgColor theme="7" tint="0.59999389629810485"/>
        <bgColor indexed="64"/>
      </patternFill>
    </fill>
    <fill>
      <patternFill patternType="darkDown">
        <fgColor rgb="FF000000"/>
        <bgColor theme="0"/>
      </patternFill>
    </fill>
    <fill>
      <patternFill patternType="solid">
        <fgColor theme="0"/>
        <bgColor indexed="64"/>
      </patternFill>
    </fill>
    <fill>
      <patternFill patternType="solid">
        <fgColor them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32">
    <xf numFmtId="0" fontId="0" fillId="0" borderId="0" xfId="0"/>
    <xf numFmtId="164" fontId="4" fillId="0" borderId="1" xfId="1" applyNumberFormat="1" applyFont="1" applyBorder="1" applyAlignment="1" applyProtection="1">
      <alignment vertical="center"/>
    </xf>
    <xf numFmtId="0" fontId="13" fillId="0" borderId="0" xfId="0" applyFont="1"/>
    <xf numFmtId="0" fontId="8" fillId="0" borderId="0" xfId="0" applyFont="1"/>
    <xf numFmtId="0" fontId="9" fillId="0" borderId="0" xfId="0" applyFont="1"/>
    <xf numFmtId="49" fontId="9" fillId="0" borderId="0" xfId="0" applyNumberFormat="1" applyFont="1" applyAlignment="1">
      <alignment horizontal="center"/>
    </xf>
    <xf numFmtId="164" fontId="8" fillId="0" borderId="0" xfId="0" applyNumberFormat="1" applyFont="1"/>
    <xf numFmtId="0" fontId="8" fillId="0" borderId="0" xfId="0" applyFont="1" applyAlignment="1">
      <alignment horizontal="center"/>
    </xf>
    <xf numFmtId="49" fontId="8" fillId="0" borderId="0" xfId="0" applyNumberFormat="1" applyFont="1"/>
    <xf numFmtId="0" fontId="12" fillId="0" borderId="0" xfId="0" applyFont="1"/>
    <xf numFmtId="0" fontId="16" fillId="0" borderId="0" xfId="0" applyFont="1" applyAlignment="1">
      <alignment horizontal="left" indent="1"/>
    </xf>
    <xf numFmtId="0" fontId="16" fillId="0" borderId="0" xfId="0" applyFont="1"/>
    <xf numFmtId="0" fontId="16" fillId="0" borderId="4" xfId="0" applyFont="1" applyBorder="1"/>
    <xf numFmtId="0" fontId="16" fillId="4" borderId="4" xfId="0" applyFont="1" applyFill="1" applyBorder="1"/>
    <xf numFmtId="0" fontId="16" fillId="0" borderId="4" xfId="0" applyFont="1" applyBorder="1" applyAlignment="1" applyProtection="1">
      <alignment horizontal="left"/>
      <protection locked="0"/>
    </xf>
    <xf numFmtId="165" fontId="16" fillId="4" borderId="4" xfId="2" applyNumberFormat="1" applyFont="1" applyFill="1" applyBorder="1" applyProtection="1"/>
    <xf numFmtId="164" fontId="16" fillId="0" borderId="0" xfId="0" applyNumberFormat="1" applyFont="1"/>
    <xf numFmtId="165" fontId="16" fillId="0" borderId="4" xfId="2" applyNumberFormat="1" applyFont="1" applyFill="1" applyBorder="1" applyProtection="1">
      <protection locked="0"/>
    </xf>
    <xf numFmtId="165" fontId="16" fillId="0" borderId="0" xfId="2" applyNumberFormat="1" applyFont="1" applyFill="1" applyBorder="1" applyProtection="1"/>
    <xf numFmtId="164" fontId="16" fillId="0" borderId="4" xfId="1" applyNumberFormat="1" applyFont="1" applyBorder="1" applyProtection="1">
      <protection locked="0"/>
    </xf>
    <xf numFmtId="164" fontId="25" fillId="0" borderId="4" xfId="1" applyNumberFormat="1" applyFont="1" applyBorder="1" applyAlignment="1" applyProtection="1">
      <alignment horizontal="left" indent="1"/>
      <protection locked="0"/>
    </xf>
    <xf numFmtId="0" fontId="16" fillId="0" borderId="11" xfId="0" applyFont="1" applyBorder="1" applyAlignment="1">
      <alignment horizontal="left" indent="1"/>
    </xf>
    <xf numFmtId="0" fontId="25" fillId="0" borderId="11" xfId="0" applyFont="1" applyBorder="1" applyAlignment="1">
      <alignment horizontal="left" indent="2"/>
    </xf>
    <xf numFmtId="0" fontId="16" fillId="0" borderId="7" xfId="0" applyFont="1" applyBorder="1"/>
    <xf numFmtId="165" fontId="16" fillId="4" borderId="4" xfId="0" applyNumberFormat="1" applyFont="1" applyFill="1" applyBorder="1"/>
    <xf numFmtId="0" fontId="25" fillId="0" borderId="13" xfId="0" applyFont="1" applyBorder="1" applyAlignment="1">
      <alignment horizontal="left" indent="2"/>
    </xf>
    <xf numFmtId="0" fontId="16" fillId="0" borderId="4" xfId="0" applyFont="1" applyBorder="1" applyAlignment="1">
      <alignment horizontal="left" indent="1"/>
    </xf>
    <xf numFmtId="0" fontId="14" fillId="4" borderId="27" xfId="0" applyFont="1" applyFill="1" applyBorder="1" applyAlignment="1">
      <alignment horizontal="center" vertical="center"/>
    </xf>
    <xf numFmtId="0" fontId="6" fillId="0" borderId="0" xfId="0" applyFont="1"/>
    <xf numFmtId="0" fontId="12" fillId="0" borderId="0" xfId="0" applyFont="1" applyAlignment="1">
      <alignment horizontal="center" vertical="center" wrapText="1"/>
    </xf>
    <xf numFmtId="0" fontId="15" fillId="0" borderId="0" xfId="0" applyFont="1" applyAlignment="1">
      <alignment horizontal="center"/>
    </xf>
    <xf numFmtId="0" fontId="14" fillId="0" borderId="0" xfId="0" applyFont="1"/>
    <xf numFmtId="0" fontId="17" fillId="0" borderId="0" xfId="0" applyFont="1" applyAlignment="1">
      <alignment horizontal="center"/>
    </xf>
    <xf numFmtId="0" fontId="25" fillId="0" borderId="11" xfId="0" quotePrefix="1" applyFont="1" applyBorder="1" applyAlignment="1">
      <alignment horizontal="left" indent="1"/>
    </xf>
    <xf numFmtId="0" fontId="16" fillId="0" borderId="12" xfId="0" applyFont="1" applyBorder="1"/>
    <xf numFmtId="0" fontId="16" fillId="0" borderId="0" xfId="0" applyFont="1" applyAlignment="1">
      <alignment horizontal="center"/>
    </xf>
    <xf numFmtId="0" fontId="25" fillId="0" borderId="13" xfId="0" quotePrefix="1" applyFont="1" applyBorder="1"/>
    <xf numFmtId="0" fontId="16" fillId="0" borderId="7" xfId="0" applyFont="1" applyBorder="1" applyAlignment="1">
      <alignment horizontal="center"/>
    </xf>
    <xf numFmtId="0" fontId="16" fillId="0" borderId="14" xfId="0" applyFont="1" applyBorder="1"/>
    <xf numFmtId="0" fontId="25" fillId="0" borderId="0" xfId="0" quotePrefix="1" applyFont="1"/>
    <xf numFmtId="0" fontId="10" fillId="0" borderId="0" xfId="0" applyFont="1" applyAlignment="1">
      <alignment horizontal="left" indent="1"/>
    </xf>
    <xf numFmtId="0" fontId="10" fillId="0" borderId="0" xfId="0" quotePrefix="1" applyFont="1" applyAlignment="1">
      <alignment horizontal="left" indent="1"/>
    </xf>
    <xf numFmtId="0" fontId="20" fillId="0" borderId="0" xfId="0" applyFont="1"/>
    <xf numFmtId="0" fontId="21" fillId="0" borderId="0" xfId="0" applyFont="1" applyAlignment="1">
      <alignment horizontal="center"/>
    </xf>
    <xf numFmtId="0" fontId="16" fillId="0" borderId="0" xfId="0" applyFont="1" applyAlignment="1">
      <alignment horizontal="left"/>
    </xf>
    <xf numFmtId="0" fontId="7" fillId="0" borderId="0" xfId="0" applyFont="1" applyAlignment="1">
      <alignment horizontal="center"/>
    </xf>
    <xf numFmtId="0" fontId="11" fillId="0" borderId="0" xfId="0" applyFont="1" applyAlignment="1">
      <alignment horizontal="left" vertical="top" wrapText="1"/>
    </xf>
    <xf numFmtId="0" fontId="16" fillId="2" borderId="5" xfId="0" applyFont="1" applyFill="1" applyBorder="1" applyAlignment="1">
      <alignment vertical="center"/>
    </xf>
    <xf numFmtId="0" fontId="28" fillId="2" borderId="6" xfId="0" applyFont="1" applyFill="1" applyBorder="1" applyAlignment="1">
      <alignment horizontal="center" vertical="center"/>
    </xf>
    <xf numFmtId="0" fontId="28" fillId="2" borderId="6" xfId="0" applyFont="1" applyFill="1" applyBorder="1" applyAlignment="1">
      <alignment horizontal="center" vertical="center" wrapText="1"/>
    </xf>
    <xf numFmtId="0" fontId="28" fillId="2" borderId="24" xfId="0" applyFont="1" applyFill="1" applyBorder="1" applyAlignment="1">
      <alignment horizontal="center" vertical="center" wrapText="1"/>
    </xf>
    <xf numFmtId="0" fontId="14" fillId="2" borderId="25" xfId="0" applyFont="1" applyFill="1" applyBorder="1" applyAlignment="1">
      <alignment horizontal="center" vertical="center"/>
    </xf>
    <xf numFmtId="0" fontId="30" fillId="0" borderId="0" xfId="0" applyFont="1"/>
    <xf numFmtId="0" fontId="2" fillId="0" borderId="0" xfId="0" applyFont="1"/>
    <xf numFmtId="0" fontId="17" fillId="0" borderId="0" xfId="0" applyFont="1"/>
    <xf numFmtId="49" fontId="8" fillId="0" borderId="21" xfId="0" applyNumberFormat="1" applyFont="1" applyBorder="1"/>
    <xf numFmtId="0" fontId="35" fillId="0" borderId="0" xfId="0" applyFont="1"/>
    <xf numFmtId="0" fontId="18" fillId="0" borderId="0" xfId="0" applyFont="1" applyAlignment="1">
      <alignment horizontal="center"/>
    </xf>
    <xf numFmtId="0" fontId="36" fillId="0" borderId="0" xfId="0" applyFont="1"/>
    <xf numFmtId="0" fontId="14" fillId="0" borderId="4" xfId="0" applyFont="1" applyBorder="1"/>
    <xf numFmtId="0" fontId="37" fillId="0" borderId="0" xfId="0" applyFont="1" applyAlignment="1">
      <alignment horizontal="left"/>
    </xf>
    <xf numFmtId="1" fontId="8" fillId="0" borderId="0" xfId="0" applyNumberFormat="1" applyFont="1"/>
    <xf numFmtId="0" fontId="7" fillId="0" borderId="0" xfId="0" applyFont="1"/>
    <xf numFmtId="0" fontId="8" fillId="0" borderId="0" xfId="0" applyFont="1" applyAlignment="1">
      <alignment horizontal="left" indent="1"/>
    </xf>
    <xf numFmtId="0" fontId="16" fillId="0" borderId="5" xfId="0" applyFont="1" applyBorder="1" applyAlignment="1">
      <alignment horizontal="left" indent="1"/>
    </xf>
    <xf numFmtId="49" fontId="16" fillId="0" borderId="0" xfId="0" applyNumberFormat="1" applyFont="1"/>
    <xf numFmtId="0" fontId="25" fillId="0" borderId="0" xfId="0" applyFont="1" applyAlignment="1">
      <alignment horizontal="left" indent="1"/>
    </xf>
    <xf numFmtId="164" fontId="11" fillId="0" borderId="0" xfId="1" applyNumberFormat="1" applyFont="1" applyBorder="1" applyProtection="1"/>
    <xf numFmtId="164" fontId="16" fillId="0" borderId="0" xfId="1" applyNumberFormat="1" applyFont="1" applyBorder="1" applyProtection="1"/>
    <xf numFmtId="0" fontId="19" fillId="0" borderId="0" xfId="0" applyFont="1" applyAlignment="1">
      <alignment horizontal="left" indent="1"/>
    </xf>
    <xf numFmtId="49" fontId="25" fillId="0" borderId="0" xfId="0" applyNumberFormat="1" applyFont="1" applyAlignment="1">
      <alignment horizontal="left" indent="1"/>
    </xf>
    <xf numFmtId="0" fontId="32" fillId="0" borderId="0" xfId="0" applyFont="1" applyAlignment="1">
      <alignment horizontal="left" indent="1"/>
    </xf>
    <xf numFmtId="0" fontId="14" fillId="0" borderId="0" xfId="0" applyFont="1" applyAlignment="1">
      <alignment horizontal="right"/>
    </xf>
    <xf numFmtId="164" fontId="8" fillId="0" borderId="0" xfId="1" applyNumberFormat="1" applyFont="1" applyBorder="1" applyProtection="1"/>
    <xf numFmtId="0" fontId="27" fillId="0" borderId="0" xfId="0" applyFont="1" applyAlignment="1">
      <alignment horizontal="left" indent="2"/>
    </xf>
    <xf numFmtId="0" fontId="11" fillId="0" borderId="0" xfId="0" applyFont="1"/>
    <xf numFmtId="0" fontId="14" fillId="5" borderId="1" xfId="0" applyFont="1" applyFill="1" applyBorder="1" applyAlignment="1">
      <alignment horizontal="left" vertical="center" indent="1"/>
    </xf>
    <xf numFmtId="0" fontId="39" fillId="0" borderId="0" xfId="0" applyFont="1"/>
    <xf numFmtId="0" fontId="40" fillId="0" borderId="0" xfId="0" applyFont="1"/>
    <xf numFmtId="0" fontId="41" fillId="0" borderId="0" xfId="0" applyFont="1"/>
    <xf numFmtId="0" fontId="34" fillId="0" borderId="0" xfId="0" applyFont="1" applyAlignment="1">
      <alignment vertical="top" wrapText="1"/>
    </xf>
    <xf numFmtId="0" fontId="16" fillId="0" borderId="1" xfId="0" applyFont="1" applyBorder="1" applyAlignment="1" applyProtection="1">
      <alignment horizontal="right"/>
      <protection locked="0"/>
    </xf>
    <xf numFmtId="43" fontId="0" fillId="0" borderId="0" xfId="1" applyFont="1" applyProtection="1"/>
    <xf numFmtId="0" fontId="16" fillId="0" borderId="8" xfId="0" applyFont="1" applyBorder="1" applyAlignment="1">
      <alignment horizontal="left" indent="2"/>
    </xf>
    <xf numFmtId="0" fontId="16" fillId="0" borderId="11" xfId="0" applyFont="1" applyBorder="1" applyAlignment="1">
      <alignment horizontal="left" indent="2"/>
    </xf>
    <xf numFmtId="0" fontId="42" fillId="0" borderId="0" xfId="0" applyFont="1" applyAlignment="1">
      <alignment horizontal="right"/>
    </xf>
    <xf numFmtId="0" fontId="6" fillId="0" borderId="0" xfId="0" applyFont="1" applyAlignment="1">
      <alignment vertical="center"/>
    </xf>
    <xf numFmtId="164" fontId="0" fillId="0" borderId="0" xfId="0" applyNumberFormat="1"/>
    <xf numFmtId="43" fontId="0" fillId="0" borderId="0" xfId="0" applyNumberFormat="1"/>
    <xf numFmtId="165" fontId="8" fillId="0" borderId="0" xfId="0" applyNumberFormat="1" applyFont="1"/>
    <xf numFmtId="0" fontId="0" fillId="8" borderId="0" xfId="0" applyFill="1"/>
    <xf numFmtId="9" fontId="0" fillId="8" borderId="0" xfId="0" applyNumberFormat="1" applyFill="1"/>
    <xf numFmtId="166" fontId="0" fillId="8" borderId="0" xfId="3" applyNumberFormat="1" applyFont="1" applyFill="1" applyProtection="1"/>
    <xf numFmtId="43" fontId="0" fillId="8" borderId="0" xfId="1" applyFont="1" applyFill="1" applyProtection="1"/>
    <xf numFmtId="164" fontId="0" fillId="0" borderId="0" xfId="1" applyNumberFormat="1" applyFont="1" applyProtection="1"/>
    <xf numFmtId="0" fontId="45" fillId="0" borderId="0" xfId="0" applyFont="1"/>
    <xf numFmtId="2" fontId="8" fillId="0" borderId="0" xfId="0" applyNumberFormat="1" applyFont="1"/>
    <xf numFmtId="0" fontId="14" fillId="2" borderId="1" xfId="0" applyFont="1" applyFill="1" applyBorder="1" applyAlignment="1">
      <alignment horizontal="center" vertical="center"/>
    </xf>
    <xf numFmtId="0" fontId="48" fillId="0" borderId="0" xfId="0" applyFont="1" applyAlignment="1">
      <alignment horizontal="left"/>
    </xf>
    <xf numFmtId="0" fontId="0" fillId="0" borderId="0" xfId="0" applyAlignment="1">
      <alignment horizontal="left"/>
    </xf>
    <xf numFmtId="0" fontId="2" fillId="0" borderId="1" xfId="0" applyFont="1" applyBorder="1" applyAlignment="1">
      <alignment horizontal="left" vertical="center" wrapText="1"/>
    </xf>
    <xf numFmtId="0" fontId="2" fillId="0" borderId="11" xfId="0" applyFont="1" applyBorder="1" applyAlignment="1">
      <alignment horizontal="center" vertical="center" wrapText="1"/>
    </xf>
    <xf numFmtId="49" fontId="4" fillId="0" borderId="1" xfId="1" applyNumberFormat="1" applyFont="1" applyBorder="1" applyAlignment="1" applyProtection="1">
      <alignment horizontal="left" vertical="center"/>
    </xf>
    <xf numFmtId="165" fontId="4" fillId="0" borderId="1" xfId="2" applyNumberFormat="1" applyFont="1" applyBorder="1" applyAlignment="1" applyProtection="1">
      <alignment horizontal="left" vertical="center"/>
    </xf>
    <xf numFmtId="44" fontId="2" fillId="0" borderId="1" xfId="2" applyFont="1" applyBorder="1" applyAlignment="1" applyProtection="1">
      <alignment horizontal="left"/>
    </xf>
    <xf numFmtId="164" fontId="4" fillId="0" borderId="1" xfId="1" applyNumberFormat="1" applyFont="1" applyBorder="1" applyAlignment="1" applyProtection="1">
      <alignment horizontal="left" vertical="center"/>
    </xf>
    <xf numFmtId="165" fontId="4" fillId="0" borderId="1" xfId="2" applyNumberFormat="1" applyFont="1" applyFill="1" applyBorder="1" applyAlignment="1" applyProtection="1">
      <alignment horizontal="left" vertical="center"/>
    </xf>
    <xf numFmtId="0" fontId="5"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47" fillId="0" borderId="0" xfId="0" applyFont="1" applyAlignment="1">
      <alignment horizontal="left"/>
    </xf>
    <xf numFmtId="0" fontId="4" fillId="0" borderId="1" xfId="0" applyFont="1" applyBorder="1" applyAlignment="1">
      <alignment horizontal="left" vertical="center"/>
    </xf>
    <xf numFmtId="49" fontId="4" fillId="3" borderId="1" xfId="0" applyNumberFormat="1" applyFont="1" applyFill="1" applyBorder="1" applyAlignment="1">
      <alignment horizontal="left" vertical="center"/>
    </xf>
    <xf numFmtId="44" fontId="4" fillId="3" borderId="1" xfId="2" applyFont="1" applyFill="1" applyBorder="1" applyAlignment="1" applyProtection="1">
      <alignment horizontal="left" vertical="center"/>
    </xf>
    <xf numFmtId="43" fontId="0" fillId="0" borderId="0" xfId="1" applyFont="1" applyAlignment="1" applyProtection="1">
      <alignment horizontal="left"/>
    </xf>
    <xf numFmtId="0" fontId="4" fillId="3" borderId="1" xfId="0" applyFont="1" applyFill="1" applyBorder="1" applyAlignment="1">
      <alignment horizontal="left" vertical="center"/>
    </xf>
    <xf numFmtId="0" fontId="49" fillId="7" borderId="1" xfId="0" applyFont="1" applyFill="1" applyBorder="1" applyAlignment="1">
      <alignment horizontal="left"/>
    </xf>
    <xf numFmtId="164" fontId="29" fillId="4" borderId="25" xfId="0" applyNumberFormat="1" applyFont="1" applyFill="1" applyBorder="1" applyAlignment="1" applyProtection="1">
      <alignment vertical="center"/>
      <protection hidden="1"/>
    </xf>
    <xf numFmtId="164" fontId="29" fillId="4" borderId="1" xfId="0" applyNumberFormat="1" applyFont="1" applyFill="1" applyBorder="1" applyAlignment="1" applyProtection="1">
      <alignment vertical="center"/>
      <protection hidden="1"/>
    </xf>
    <xf numFmtId="164" fontId="14" fillId="4" borderId="26" xfId="1" applyNumberFormat="1" applyFont="1" applyFill="1" applyBorder="1" applyAlignment="1" applyProtection="1">
      <alignment horizontal="right" vertical="center"/>
      <protection hidden="1"/>
    </xf>
    <xf numFmtId="164" fontId="14" fillId="4" borderId="26" xfId="0" applyNumberFormat="1" applyFont="1" applyFill="1" applyBorder="1" applyAlignment="1" applyProtection="1">
      <alignment horizontal="center"/>
      <protection hidden="1"/>
    </xf>
    <xf numFmtId="165" fontId="16" fillId="4" borderId="4" xfId="2" applyNumberFormat="1" applyFont="1" applyFill="1" applyBorder="1" applyProtection="1">
      <protection hidden="1"/>
    </xf>
    <xf numFmtId="165" fontId="16" fillId="0" borderId="0" xfId="0" applyNumberFormat="1" applyFont="1" applyProtection="1">
      <protection hidden="1"/>
    </xf>
    <xf numFmtId="164" fontId="16" fillId="4" borderId="4" xfId="1" applyNumberFormat="1" applyFont="1" applyFill="1" applyBorder="1" applyProtection="1">
      <protection hidden="1"/>
    </xf>
    <xf numFmtId="167" fontId="16" fillId="4" borderId="4" xfId="2" applyNumberFormat="1" applyFont="1" applyFill="1" applyBorder="1" applyProtection="1">
      <protection hidden="1"/>
    </xf>
    <xf numFmtId="165" fontId="16" fillId="0" borderId="0" xfId="2" applyNumberFormat="1" applyFont="1" applyProtection="1">
      <protection hidden="1"/>
    </xf>
    <xf numFmtId="164" fontId="16" fillId="4" borderId="4" xfId="0" applyNumberFormat="1" applyFont="1" applyFill="1" applyBorder="1" applyProtection="1">
      <protection hidden="1"/>
    </xf>
    <xf numFmtId="164" fontId="16" fillId="0" borderId="0" xfId="0" applyNumberFormat="1" applyFont="1" applyProtection="1">
      <protection hidden="1"/>
    </xf>
    <xf numFmtId="0" fontId="8" fillId="0" borderId="0" xfId="0" applyFont="1" applyProtection="1">
      <protection hidden="1"/>
    </xf>
    <xf numFmtId="164" fontId="16" fillId="4" borderId="4" xfId="1" applyNumberFormat="1" applyFont="1" applyFill="1" applyBorder="1" applyAlignment="1" applyProtection="1">
      <alignment horizontal="right" indent="1"/>
      <protection hidden="1"/>
    </xf>
    <xf numFmtId="0" fontId="16" fillId="0" borderId="0" xfId="0" applyFont="1" applyProtection="1">
      <protection hidden="1"/>
    </xf>
    <xf numFmtId="165" fontId="16" fillId="4" borderId="4" xfId="2" applyNumberFormat="1" applyFont="1" applyFill="1" applyBorder="1" applyAlignment="1" applyProtection="1">
      <alignment horizontal="right"/>
      <protection hidden="1"/>
    </xf>
    <xf numFmtId="165" fontId="16" fillId="0" borderId="0" xfId="2" applyNumberFormat="1" applyFont="1" applyFill="1" applyBorder="1" applyProtection="1">
      <protection hidden="1"/>
    </xf>
    <xf numFmtId="0" fontId="51" fillId="0" borderId="1" xfId="0" applyFont="1" applyBorder="1" applyAlignment="1">
      <alignment horizontal="left" vertical="center" wrapText="1"/>
    </xf>
    <xf numFmtId="44" fontId="51" fillId="0" borderId="1" xfId="2" applyFont="1" applyBorder="1" applyAlignment="1" applyProtection="1">
      <alignment horizontal="left"/>
    </xf>
    <xf numFmtId="44" fontId="52" fillId="0" borderId="1" xfId="2" applyFont="1" applyBorder="1" applyAlignment="1" applyProtection="1">
      <alignment horizontal="left"/>
    </xf>
    <xf numFmtId="0" fontId="14" fillId="2" borderId="25" xfId="0" applyFont="1" applyFill="1" applyBorder="1" applyAlignment="1">
      <alignment horizontal="left" vertical="center" indent="1"/>
    </xf>
    <xf numFmtId="0" fontId="14" fillId="2" borderId="1" xfId="0" applyFont="1" applyFill="1" applyBorder="1" applyAlignment="1">
      <alignment horizontal="left" vertical="center" indent="1"/>
    </xf>
    <xf numFmtId="0" fontId="14" fillId="2" borderId="1" xfId="0" applyFont="1" applyFill="1" applyBorder="1" applyAlignment="1">
      <alignment horizontal="left" vertical="center" wrapText="1" indent="1"/>
    </xf>
    <xf numFmtId="0" fontId="14" fillId="4" borderId="26" xfId="0" applyFont="1" applyFill="1" applyBorder="1" applyAlignment="1">
      <alignment vertical="center"/>
    </xf>
    <xf numFmtId="0" fontId="31" fillId="5" borderId="1" xfId="0" applyFont="1" applyFill="1" applyBorder="1" applyAlignment="1">
      <alignment horizontal="left" vertical="center" wrapText="1" indent="1"/>
    </xf>
    <xf numFmtId="0" fontId="23" fillId="5" borderId="1" xfId="0" applyFont="1" applyFill="1" applyBorder="1" applyAlignment="1">
      <alignment horizontal="left" vertical="center" wrapText="1" indent="1"/>
    </xf>
    <xf numFmtId="0" fontId="53" fillId="2" borderId="1" xfId="0" applyFont="1" applyFill="1" applyBorder="1" applyAlignment="1">
      <alignment horizontal="left" vertical="center" wrapText="1"/>
    </xf>
    <xf numFmtId="44" fontId="0" fillId="0" borderId="0" xfId="0" applyNumberFormat="1"/>
    <xf numFmtId="165" fontId="54" fillId="0" borderId="0" xfId="0" applyNumberFormat="1" applyFont="1"/>
    <xf numFmtId="0" fontId="55" fillId="0" borderId="0" xfId="0" applyFont="1" applyAlignment="1">
      <alignment horizontal="center"/>
    </xf>
    <xf numFmtId="44" fontId="4" fillId="0" borderId="1" xfId="2" applyFont="1" applyBorder="1" applyAlignment="1" applyProtection="1">
      <alignment horizontal="left" vertical="center"/>
    </xf>
    <xf numFmtId="168" fontId="16" fillId="0" borderId="4" xfId="2" applyNumberFormat="1" applyFont="1" applyFill="1" applyBorder="1" applyProtection="1">
      <protection locked="0"/>
    </xf>
    <xf numFmtId="165" fontId="42" fillId="0" borderId="4" xfId="2" applyNumberFormat="1" applyFont="1" applyFill="1" applyBorder="1" applyProtection="1">
      <protection locked="0"/>
    </xf>
    <xf numFmtId="165" fontId="42" fillId="4" borderId="24" xfId="2" applyNumberFormat="1" applyFont="1" applyFill="1" applyBorder="1" applyAlignment="1" applyProtection="1">
      <alignment horizontal="right"/>
      <protection hidden="1"/>
    </xf>
    <xf numFmtId="165" fontId="50" fillId="4" borderId="4" xfId="2" applyNumberFormat="1" applyFont="1" applyFill="1" applyBorder="1" applyProtection="1">
      <protection hidden="1"/>
    </xf>
    <xf numFmtId="1" fontId="29" fillId="0" borderId="25" xfId="1" applyNumberFormat="1" applyFont="1" applyFill="1" applyBorder="1" applyAlignment="1" applyProtection="1">
      <alignment vertical="center"/>
      <protection locked="0"/>
    </xf>
    <xf numFmtId="1" fontId="29" fillId="0" borderId="1" xfId="1" applyNumberFormat="1" applyFont="1" applyFill="1" applyBorder="1" applyAlignment="1" applyProtection="1">
      <alignment vertical="center"/>
      <protection locked="0"/>
    </xf>
    <xf numFmtId="0" fontId="59" fillId="0" borderId="0" xfId="0" applyFont="1"/>
    <xf numFmtId="0" fontId="14" fillId="0" borderId="0" xfId="0" applyFont="1" applyAlignment="1">
      <alignment horizontal="left"/>
    </xf>
    <xf numFmtId="0" fontId="8" fillId="0" borderId="0" xfId="0" applyFont="1" applyProtection="1">
      <protection locked="0"/>
    </xf>
    <xf numFmtId="0" fontId="33" fillId="5" borderId="15" xfId="0" applyFont="1" applyFill="1" applyBorder="1" applyAlignment="1">
      <alignment horizontal="center" vertical="center" wrapText="1"/>
    </xf>
    <xf numFmtId="0" fontId="33" fillId="5" borderId="16" xfId="0" applyFont="1" applyFill="1" applyBorder="1" applyAlignment="1">
      <alignment horizontal="center" vertical="center" wrapText="1"/>
    </xf>
    <xf numFmtId="0" fontId="33" fillId="5" borderId="17" xfId="0" applyFont="1" applyFill="1" applyBorder="1" applyAlignment="1">
      <alignment horizontal="center" vertical="center" wrapText="1"/>
    </xf>
    <xf numFmtId="0" fontId="33" fillId="5" borderId="18" xfId="0" applyFont="1" applyFill="1" applyBorder="1" applyAlignment="1">
      <alignment horizontal="center" vertical="center" wrapText="1"/>
    </xf>
    <xf numFmtId="0" fontId="33" fillId="5" borderId="0" xfId="0" applyFont="1" applyFill="1" applyAlignment="1">
      <alignment horizontal="center" vertical="center" wrapText="1"/>
    </xf>
    <xf numFmtId="0" fontId="33" fillId="5" borderId="19" xfId="0" applyFont="1" applyFill="1" applyBorder="1" applyAlignment="1">
      <alignment horizontal="center" vertical="center" wrapText="1"/>
    </xf>
    <xf numFmtId="0" fontId="33" fillId="5" borderId="20" xfId="0" applyFont="1" applyFill="1" applyBorder="1" applyAlignment="1">
      <alignment horizontal="center" vertical="center" wrapText="1"/>
    </xf>
    <xf numFmtId="0" fontId="33" fillId="5" borderId="21" xfId="0" applyFont="1" applyFill="1" applyBorder="1" applyAlignment="1">
      <alignment horizontal="center" vertical="center" wrapText="1"/>
    </xf>
    <xf numFmtId="0" fontId="33" fillId="5" borderId="22" xfId="0" applyFont="1" applyFill="1" applyBorder="1" applyAlignment="1">
      <alignment horizontal="center" vertical="center" wrapText="1"/>
    </xf>
    <xf numFmtId="0" fontId="43" fillId="0" borderId="0" xfId="0" applyFont="1" applyAlignment="1">
      <alignment horizontal="center"/>
    </xf>
    <xf numFmtId="0" fontId="22" fillId="0" borderId="8" xfId="0" applyFont="1" applyBorder="1" applyAlignment="1">
      <alignment horizontal="left" vertical="top" wrapText="1" indent="1"/>
    </xf>
    <xf numFmtId="0" fontId="22" fillId="0" borderId="9" xfId="0" applyFont="1" applyBorder="1" applyAlignment="1">
      <alignment horizontal="left" vertical="top" wrapText="1" indent="1"/>
    </xf>
    <xf numFmtId="0" fontId="22" fillId="0" borderId="10" xfId="0" applyFont="1" applyBorder="1" applyAlignment="1">
      <alignment horizontal="left" vertical="top" wrapText="1" indent="1"/>
    </xf>
    <xf numFmtId="0" fontId="22" fillId="0" borderId="11" xfId="0" applyFont="1" applyBorder="1" applyAlignment="1">
      <alignment horizontal="left" vertical="top" wrapText="1" indent="1"/>
    </xf>
    <xf numFmtId="0" fontId="22" fillId="0" borderId="0" xfId="0" applyFont="1" applyAlignment="1">
      <alignment horizontal="left" vertical="top" wrapText="1" indent="1"/>
    </xf>
    <xf numFmtId="0" fontId="22" fillId="0" borderId="12" xfId="0" applyFont="1" applyBorder="1" applyAlignment="1">
      <alignment horizontal="left" vertical="top" wrapText="1" indent="1"/>
    </xf>
    <xf numFmtId="0" fontId="22" fillId="0" borderId="13" xfId="0" applyFont="1" applyBorder="1" applyAlignment="1">
      <alignment horizontal="left" vertical="top" wrapText="1" indent="1"/>
    </xf>
    <xf numFmtId="0" fontId="22" fillId="0" borderId="7" xfId="0" applyFont="1" applyBorder="1" applyAlignment="1">
      <alignment horizontal="left" vertical="top" wrapText="1" indent="1"/>
    </xf>
    <xf numFmtId="0" fontId="22" fillId="0" borderId="14" xfId="0" applyFont="1" applyBorder="1" applyAlignment="1">
      <alignment horizontal="left" vertical="top" wrapText="1" indent="1"/>
    </xf>
    <xf numFmtId="0" fontId="25" fillId="0" borderId="16" xfId="0" applyFont="1" applyBorder="1" applyAlignment="1">
      <alignment horizontal="left"/>
    </xf>
    <xf numFmtId="0" fontId="25" fillId="0" borderId="17" xfId="0" applyFont="1" applyBorder="1" applyAlignment="1">
      <alignment horizontal="left"/>
    </xf>
    <xf numFmtId="0" fontId="25" fillId="0" borderId="0" xfId="0" applyFont="1" applyAlignment="1">
      <alignment horizontal="left"/>
    </xf>
    <xf numFmtId="0" fontId="25" fillId="0" borderId="19" xfId="0" applyFont="1" applyBorder="1" applyAlignment="1">
      <alignment horizontal="left"/>
    </xf>
    <xf numFmtId="0" fontId="16" fillId="0" borderId="5" xfId="0" applyFont="1" applyBorder="1" applyAlignment="1" applyProtection="1">
      <alignment horizontal="left" wrapText="1"/>
      <protection locked="0"/>
    </xf>
    <xf numFmtId="0" fontId="16" fillId="0" borderId="23" xfId="0" applyFont="1" applyBorder="1" applyAlignment="1" applyProtection="1">
      <alignment horizontal="left" wrapText="1"/>
      <protection locked="0"/>
    </xf>
    <xf numFmtId="0" fontId="16" fillId="0" borderId="24" xfId="0" applyFont="1" applyBorder="1" applyAlignment="1" applyProtection="1">
      <alignment horizontal="left" wrapText="1"/>
      <protection locked="0"/>
    </xf>
    <xf numFmtId="16" fontId="16" fillId="0" borderId="5" xfId="0" applyNumberFormat="1" applyFont="1" applyBorder="1" applyAlignment="1" applyProtection="1">
      <alignment horizontal="left"/>
      <protection locked="0"/>
    </xf>
    <xf numFmtId="0" fontId="16" fillId="0" borderId="23" xfId="0" applyFont="1" applyBorder="1" applyAlignment="1" applyProtection="1">
      <alignment horizontal="left"/>
      <protection locked="0"/>
    </xf>
    <xf numFmtId="0" fontId="16" fillId="0" borderId="24" xfId="0" applyFont="1" applyBorder="1" applyAlignment="1" applyProtection="1">
      <alignment horizontal="left"/>
      <protection locked="0"/>
    </xf>
    <xf numFmtId="0" fontId="16" fillId="0" borderId="5" xfId="0" applyFont="1" applyBorder="1" applyAlignment="1" applyProtection="1">
      <alignment horizontal="left"/>
      <protection locked="0"/>
    </xf>
    <xf numFmtId="0" fontId="25" fillId="0" borderId="8" xfId="0" applyFont="1" applyBorder="1" applyAlignment="1">
      <alignment horizontal="left" vertical="center" wrapText="1" indent="1"/>
    </xf>
    <xf numFmtId="0" fontId="25" fillId="0" borderId="9" xfId="0" applyFont="1" applyBorder="1" applyAlignment="1">
      <alignment horizontal="left" vertical="center" wrapText="1" indent="1"/>
    </xf>
    <xf numFmtId="0" fontId="25" fillId="0" borderId="10" xfId="0" applyFont="1" applyBorder="1" applyAlignment="1">
      <alignment horizontal="left" vertical="center" wrapText="1" indent="1"/>
    </xf>
    <xf numFmtId="0" fontId="25" fillId="0" borderId="11" xfId="0" applyFont="1" applyBorder="1" applyAlignment="1">
      <alignment horizontal="left" vertical="center" wrapText="1" indent="1"/>
    </xf>
    <xf numFmtId="0" fontId="25" fillId="0" borderId="0" xfId="0" applyFont="1" applyAlignment="1">
      <alignment horizontal="left" vertical="center" wrapText="1" indent="1"/>
    </xf>
    <xf numFmtId="0" fontId="25" fillId="0" borderId="12" xfId="0" applyFont="1" applyBorder="1" applyAlignment="1">
      <alignment horizontal="left" vertical="center" wrapText="1" indent="1"/>
    </xf>
    <xf numFmtId="0" fontId="14" fillId="4" borderId="15"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18"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19"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14" fillId="0" borderId="0" xfId="0" applyFont="1" applyAlignment="1">
      <alignment horizontal="left" wrapText="1"/>
    </xf>
    <xf numFmtId="0" fontId="14" fillId="0" borderId="0" xfId="0" applyFont="1" applyAlignment="1">
      <alignment horizontal="left"/>
    </xf>
    <xf numFmtId="165" fontId="8" fillId="0" borderId="5" xfId="2" applyNumberFormat="1" applyFont="1" applyFill="1" applyBorder="1" applyAlignment="1" applyProtection="1">
      <protection locked="0"/>
    </xf>
    <xf numFmtId="165" fontId="8" fillId="0" borderId="24" xfId="2" applyNumberFormat="1" applyFont="1" applyFill="1" applyBorder="1" applyAlignment="1" applyProtection="1">
      <protection locked="0"/>
    </xf>
    <xf numFmtId="49" fontId="50" fillId="0" borderId="0" xfId="0" applyNumberFormat="1" applyFont="1" applyAlignment="1">
      <alignment horizontal="center"/>
    </xf>
    <xf numFmtId="49" fontId="8" fillId="0" borderId="5" xfId="0" applyNumberFormat="1" applyFont="1" applyBorder="1" applyAlignment="1" applyProtection="1">
      <alignment horizontal="left"/>
      <protection locked="0"/>
    </xf>
    <xf numFmtId="49" fontId="8" fillId="0" borderId="24" xfId="0" applyNumberFormat="1" applyFont="1" applyBorder="1" applyAlignment="1" applyProtection="1">
      <alignment horizontal="left"/>
      <protection locked="0"/>
    </xf>
    <xf numFmtId="0" fontId="25" fillId="0" borderId="13" xfId="0" applyFont="1" applyBorder="1" applyAlignment="1">
      <alignment horizontal="left" vertical="center" wrapText="1" indent="1"/>
    </xf>
    <xf numFmtId="0" fontId="25" fillId="0" borderId="7" xfId="0" applyFont="1" applyBorder="1" applyAlignment="1">
      <alignment horizontal="left" vertical="center" wrapText="1" indent="1"/>
    </xf>
    <xf numFmtId="0" fontId="25" fillId="0" borderId="14" xfId="0" applyFont="1" applyBorder="1" applyAlignment="1">
      <alignment horizontal="left" vertical="center" wrapText="1" indent="1"/>
    </xf>
    <xf numFmtId="0" fontId="45" fillId="0" borderId="0" xfId="0" applyFont="1" applyAlignment="1">
      <alignment horizontal="center" wrapText="1"/>
    </xf>
    <xf numFmtId="0" fontId="63" fillId="0" borderId="8" xfId="0" applyFont="1" applyBorder="1" applyAlignment="1">
      <alignment horizontal="left" vertical="center" wrapText="1" indent="1"/>
    </xf>
    <xf numFmtId="0" fontId="16" fillId="6" borderId="28" xfId="0" applyFont="1" applyFill="1" applyBorder="1" applyAlignment="1">
      <alignment horizontal="center" vertical="center"/>
    </xf>
    <xf numFmtId="0" fontId="16" fillId="6" borderId="29" xfId="0" applyFont="1" applyFill="1" applyBorder="1" applyAlignment="1">
      <alignment horizontal="center" vertical="center"/>
    </xf>
    <xf numFmtId="0" fontId="16" fillId="4" borderId="5" xfId="0" applyFont="1" applyFill="1" applyBorder="1" applyAlignment="1" applyProtection="1">
      <alignment horizontal="left"/>
      <protection hidden="1"/>
    </xf>
    <xf numFmtId="0" fontId="16" fillId="4" borderId="24" xfId="0" applyFont="1" applyFill="1" applyBorder="1" applyAlignment="1" applyProtection="1">
      <alignment horizontal="left"/>
      <protection hidden="1"/>
    </xf>
    <xf numFmtId="41" fontId="16" fillId="4" borderId="5" xfId="0" applyNumberFormat="1" applyFont="1" applyFill="1" applyBorder="1" applyAlignment="1" applyProtection="1">
      <alignment horizontal="left"/>
      <protection hidden="1"/>
    </xf>
    <xf numFmtId="41" fontId="16" fillId="4" borderId="24" xfId="0" applyNumberFormat="1" applyFont="1" applyFill="1" applyBorder="1" applyAlignment="1" applyProtection="1">
      <alignment horizontal="left"/>
      <protection hidden="1"/>
    </xf>
    <xf numFmtId="49" fontId="12" fillId="0" borderId="0" xfId="0" applyNumberFormat="1" applyFont="1" applyAlignment="1">
      <alignment horizontal="center"/>
    </xf>
    <xf numFmtId="0" fontId="38" fillId="0" borderId="11" xfId="0" applyFont="1" applyBorder="1" applyAlignment="1">
      <alignment horizontal="left" wrapText="1"/>
    </xf>
    <xf numFmtId="0" fontId="38" fillId="0" borderId="0" xfId="0" applyFont="1" applyAlignment="1">
      <alignment horizontal="left"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46" fillId="0" borderId="0" xfId="0" applyFont="1" applyAlignment="1">
      <alignment horizontal="center"/>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164" fontId="2" fillId="0" borderId="2" xfId="1" applyNumberFormat="1" applyFont="1" applyBorder="1" applyAlignment="1" applyProtection="1">
      <alignment horizontal="left" vertical="center"/>
    </xf>
    <xf numFmtId="164" fontId="2" fillId="0" borderId="30" xfId="1" applyNumberFormat="1" applyFont="1" applyBorder="1" applyAlignment="1" applyProtection="1">
      <alignment horizontal="left" vertical="center"/>
    </xf>
    <xf numFmtId="164" fontId="2" fillId="0" borderId="3" xfId="1" applyNumberFormat="1" applyFont="1" applyBorder="1" applyAlignment="1" applyProtection="1">
      <alignment horizontal="left" vertical="center"/>
    </xf>
    <xf numFmtId="0" fontId="56" fillId="7" borderId="7" xfId="0" applyFont="1" applyFill="1" applyBorder="1" applyAlignment="1">
      <alignment horizontal="center"/>
    </xf>
  </cellXfs>
  <cellStyles count="4">
    <cellStyle name="Comma" xfId="1" builtinId="3"/>
    <cellStyle name="Currency" xfId="2" builtinId="4"/>
    <cellStyle name="Normal" xfId="0" builtinId="0"/>
    <cellStyle name="Percent" xfId="3" builtinId="5"/>
  </cellStyles>
  <dxfs count="12">
    <dxf>
      <font>
        <b/>
        <i val="0"/>
        <color rgb="FFFF0000"/>
      </font>
    </dxf>
    <dxf>
      <font>
        <color rgb="FFFF0000"/>
      </font>
    </dxf>
    <dxf>
      <font>
        <b val="0"/>
        <i/>
        <color rgb="FFFF0000"/>
      </font>
    </dxf>
    <dxf>
      <font>
        <color rgb="FFFF0000"/>
      </font>
    </dxf>
    <dxf>
      <font>
        <color theme="0"/>
      </font>
      <fill>
        <patternFill>
          <bgColor theme="0"/>
        </patternFill>
      </fill>
    </dxf>
    <dxf>
      <font>
        <b/>
        <i val="0"/>
      </font>
    </dxf>
    <dxf>
      <font>
        <color theme="0" tint="-0.14996795556505021"/>
      </font>
    </dxf>
    <dxf>
      <font>
        <color theme="0" tint="-0.14996795556505021"/>
      </font>
    </dxf>
    <dxf>
      <font>
        <color theme="0" tint="-0.14996795556505021"/>
      </font>
    </dxf>
    <dxf>
      <font>
        <color theme="0"/>
      </font>
      <fill>
        <patternFill patternType="solid">
          <fgColor theme="0"/>
          <bgColor theme="0"/>
        </patternFill>
      </fill>
      <border>
        <left/>
        <right/>
        <top/>
        <bottom/>
      </border>
    </dxf>
    <dxf>
      <font>
        <color theme="0"/>
      </font>
      <fill>
        <patternFill patternType="solid">
          <fgColor theme="0"/>
          <bgColor theme="0"/>
        </patternFill>
      </fill>
      <border>
        <left/>
        <right/>
        <top/>
        <bottom/>
        <vertical/>
        <horizontal/>
      </border>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133350</xdr:colOff>
          <xdr:row>163</xdr:row>
          <xdr:rowOff>19050</xdr:rowOff>
        </xdr:from>
        <xdr:to>
          <xdr:col>4</xdr:col>
          <xdr:colOff>1000125</xdr:colOff>
          <xdr:row>163</xdr:row>
          <xdr:rowOff>219075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164</xdr:row>
          <xdr:rowOff>38100</xdr:rowOff>
        </xdr:from>
        <xdr:to>
          <xdr:col>4</xdr:col>
          <xdr:colOff>1000125</xdr:colOff>
          <xdr:row>164</xdr:row>
          <xdr:rowOff>238125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assgov-my.sharepoint.com/FEA/Clients/LYNN/Budget%202017/Budget%202017%20-%20Final%207-19-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pro"/>
      <sheetName val="mx"/>
      <sheetName val="Grant Adm"/>
      <sheetName val="adm"/>
      <sheetName val="Sheet1"/>
      <sheetName val="lab"/>
      <sheetName val="mat"/>
      <sheetName val="ins"/>
      <sheetName val="ben"/>
      <sheetName val="nr"/>
      <sheetName val="inc"/>
      <sheetName val="fed"/>
      <sheetName val="401"/>
      <sheetName val="4001 Sub"/>
      <sheetName val="S8f"/>
      <sheetName val="S8s"/>
      <sheetName val="mrvp"/>
      <sheetName val="689"/>
      <sheetName val="ut"/>
      <sheetName val="tbl"/>
      <sheetName val="sum"/>
      <sheetName val="grf"/>
      <sheetName val="mac"/>
      <sheetName val="payroll alloc"/>
      <sheetName val="PRadj"/>
      <sheetName val="MgtFees"/>
      <sheetName val="Sequestration"/>
      <sheetName val="Budget 2017 - Final 7-19-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B182"/>
  <sheetViews>
    <sheetView tabSelected="1" topLeftCell="A19" zoomScale="60" zoomScaleNormal="60" zoomScalePageLayoutView="64" workbookViewId="0">
      <selection activeCell="E19" sqref="E19:G19"/>
    </sheetView>
  </sheetViews>
  <sheetFormatPr defaultColWidth="9.140625" defaultRowHeight="18"/>
  <cols>
    <col min="1" max="1" width="9.140625" style="3"/>
    <col min="2" max="2" width="17.28515625" style="3" customWidth="1"/>
    <col min="3" max="3" width="6" style="3" customWidth="1"/>
    <col min="4" max="4" width="130" style="3" customWidth="1"/>
    <col min="5" max="5" width="19.85546875" style="3" customWidth="1"/>
    <col min="6" max="6" width="20.85546875" style="3" customWidth="1"/>
    <col min="7" max="7" width="14" style="3" customWidth="1"/>
    <col min="8" max="8" width="9.7109375" style="3" customWidth="1"/>
    <col min="9" max="9" width="8.85546875" style="28" customWidth="1"/>
    <col min="10" max="11" width="9.140625" style="28" hidden="1" customWidth="1"/>
    <col min="12" max="12" width="0.140625" style="28" hidden="1" customWidth="1"/>
    <col min="13" max="13" width="5.42578125" style="28" customWidth="1"/>
    <col min="14" max="15" width="5.42578125" style="28" hidden="1" customWidth="1"/>
    <col min="16" max="16" width="7.140625" style="28" hidden="1" customWidth="1"/>
    <col min="17" max="16384" width="9.140625" style="28"/>
  </cols>
  <sheetData>
    <row r="1" spans="2:13" ht="18.75" thickBot="1"/>
    <row r="2" spans="2:13" ht="15.75" customHeight="1">
      <c r="B2" s="155" t="s">
        <v>0</v>
      </c>
      <c r="C2" s="156"/>
      <c r="D2" s="156"/>
      <c r="E2" s="156"/>
      <c r="F2" s="156"/>
      <c r="G2" s="157"/>
      <c r="H2" s="85"/>
      <c r="I2" s="85"/>
    </row>
    <row r="3" spans="2:13" ht="56.25" customHeight="1">
      <c r="B3" s="158"/>
      <c r="C3" s="159"/>
      <c r="D3" s="159"/>
      <c r="E3" s="159"/>
      <c r="F3" s="159"/>
      <c r="G3" s="160"/>
      <c r="I3" s="86" t="s">
        <v>1</v>
      </c>
    </row>
    <row r="4" spans="2:13" ht="15.75" customHeight="1" thickBot="1">
      <c r="B4" s="161"/>
      <c r="C4" s="162"/>
      <c r="D4" s="162"/>
      <c r="E4" s="162"/>
      <c r="F4" s="162"/>
      <c r="G4" s="163"/>
    </row>
    <row r="5" spans="2:13" ht="15.75" customHeight="1">
      <c r="B5" s="29"/>
      <c r="C5" s="29"/>
      <c r="D5" s="29"/>
      <c r="E5" s="29"/>
      <c r="F5" s="29"/>
      <c r="G5" s="29"/>
    </row>
    <row r="6" spans="2:13" ht="23.25">
      <c r="C6" s="164" t="s">
        <v>2</v>
      </c>
      <c r="D6" s="164"/>
      <c r="E6" s="164"/>
      <c r="F6" s="164"/>
    </row>
    <row r="7" spans="2:13" ht="15" customHeight="1">
      <c r="C7" s="7"/>
      <c r="D7" s="7"/>
      <c r="E7" s="7"/>
      <c r="F7" s="7"/>
    </row>
    <row r="8" spans="2:13" ht="15" customHeight="1">
      <c r="C8" s="7"/>
      <c r="D8" s="7"/>
      <c r="E8" s="7"/>
      <c r="F8" s="7"/>
    </row>
    <row r="9" spans="2:13" ht="15" customHeight="1">
      <c r="C9" s="7"/>
      <c r="D9" s="7"/>
      <c r="E9" s="7"/>
      <c r="F9" s="7"/>
    </row>
    <row r="10" spans="2:13" ht="18.75" customHeight="1">
      <c r="B10" s="9" t="s">
        <v>3</v>
      </c>
      <c r="C10" s="30"/>
      <c r="D10" s="185" t="s">
        <v>4</v>
      </c>
      <c r="E10" s="186"/>
      <c r="F10" s="186"/>
      <c r="G10" s="187"/>
    </row>
    <row r="11" spans="2:13" ht="30" customHeight="1">
      <c r="B11" s="31"/>
      <c r="C11" s="30"/>
      <c r="D11" s="188"/>
      <c r="E11" s="189"/>
      <c r="F11" s="189"/>
      <c r="G11" s="190"/>
    </row>
    <row r="12" spans="2:13" ht="30" customHeight="1">
      <c r="B12" s="31"/>
      <c r="C12" s="30"/>
      <c r="D12" s="188"/>
      <c r="E12" s="189"/>
      <c r="F12" s="189"/>
      <c r="G12" s="190"/>
    </row>
    <row r="13" spans="2:13" ht="42" customHeight="1" thickBot="1">
      <c r="B13" s="31"/>
      <c r="C13" s="30"/>
      <c r="D13" s="188"/>
      <c r="E13" s="189"/>
      <c r="F13" s="189"/>
      <c r="G13" s="190"/>
    </row>
    <row r="14" spans="2:13" ht="21.95" customHeight="1" thickBot="1">
      <c r="B14" s="11"/>
      <c r="C14" s="32"/>
      <c r="D14" s="33" t="s">
        <v>5</v>
      </c>
      <c r="E14" s="12"/>
      <c r="G14" s="34"/>
    </row>
    <row r="15" spans="2:13" ht="21.95" customHeight="1" thickBot="1">
      <c r="B15" s="11"/>
      <c r="C15" s="35"/>
      <c r="D15" s="33" t="s">
        <v>6</v>
      </c>
      <c r="E15" s="13"/>
      <c r="G15" s="34"/>
    </row>
    <row r="16" spans="2:13" ht="12" customHeight="1">
      <c r="B16" s="11"/>
      <c r="C16" s="35"/>
      <c r="D16" s="36"/>
      <c r="E16" s="23"/>
      <c r="F16" s="37"/>
      <c r="G16" s="38"/>
      <c r="M16" s="40"/>
    </row>
    <row r="17" spans="2:13" ht="12" customHeight="1">
      <c r="B17" s="11"/>
      <c r="C17" s="35"/>
      <c r="D17" s="39"/>
      <c r="E17" s="11"/>
      <c r="F17" s="35"/>
      <c r="G17" s="11"/>
      <c r="M17" s="40"/>
    </row>
    <row r="18" spans="2:13" ht="21" thickBot="1">
      <c r="B18" s="11"/>
      <c r="C18" s="35"/>
      <c r="D18" s="7"/>
      <c r="E18" s="7"/>
      <c r="F18" s="7"/>
      <c r="M18" s="41"/>
    </row>
    <row r="19" spans="2:13" ht="24.95" customHeight="1" thickBot="1">
      <c r="B19" s="42" t="s">
        <v>7</v>
      </c>
      <c r="C19" s="43" t="s">
        <v>8</v>
      </c>
      <c r="D19" s="83" t="s">
        <v>9</v>
      </c>
      <c r="E19" s="178"/>
      <c r="F19" s="179"/>
      <c r="G19" s="180"/>
      <c r="J19" s="28" t="b">
        <f>ISTEXT(E19)</f>
        <v>0</v>
      </c>
      <c r="L19" s="28">
        <f>COUNTIF(J19,"True")</f>
        <v>0</v>
      </c>
    </row>
    <row r="20" spans="2:13" ht="24.95" customHeight="1" thickBot="1">
      <c r="B20" s="11"/>
      <c r="C20" s="30"/>
      <c r="D20" s="84" t="s">
        <v>10</v>
      </c>
      <c r="E20" s="181"/>
      <c r="F20" s="182"/>
      <c r="G20" s="183"/>
      <c r="J20" s="28" t="b">
        <f t="shared" ref="J20:J21" si="0">ISTEXT(E20)</f>
        <v>0</v>
      </c>
      <c r="L20" s="28">
        <f t="shared" ref="L20:L21" si="1">COUNTIF(J20,"True")</f>
        <v>0</v>
      </c>
    </row>
    <row r="21" spans="2:13" ht="24.95" customHeight="1" thickBot="1">
      <c r="B21" s="11"/>
      <c r="C21" s="30"/>
      <c r="D21" s="84" t="s">
        <v>11</v>
      </c>
      <c r="E21" s="184"/>
      <c r="F21" s="182"/>
      <c r="G21" s="183"/>
      <c r="J21" s="28" t="b">
        <f t="shared" si="0"/>
        <v>0</v>
      </c>
      <c r="L21" s="28">
        <f t="shared" si="1"/>
        <v>0</v>
      </c>
    </row>
    <row r="22" spans="2:13" ht="24.95" customHeight="1" thickBot="1">
      <c r="B22" s="11"/>
      <c r="C22" s="30"/>
      <c r="D22" s="21" t="s">
        <v>12</v>
      </c>
      <c r="E22" s="174" t="str">
        <f>IF(G22&gt;37.5,"Hours Must Not Exceed 37.5",IF(G22&lt;=0,"Hours Must Exceed 0","  "))</f>
        <v xml:space="preserve">  </v>
      </c>
      <c r="F22" s="175"/>
      <c r="G22" s="14">
        <v>37.5</v>
      </c>
      <c r="J22" s="28" t="b">
        <f>ISTEXT(G22)</f>
        <v>0</v>
      </c>
      <c r="L22" s="28">
        <f t="shared" ref="L22" si="2">COUNTIF(J22,"True")</f>
        <v>0</v>
      </c>
    </row>
    <row r="23" spans="2:13" ht="24.95" customHeight="1" thickBot="1">
      <c r="B23" s="11"/>
      <c r="C23" s="35"/>
      <c r="D23" s="22" t="s">
        <v>13</v>
      </c>
      <c r="E23" s="176"/>
      <c r="F23" s="177"/>
      <c r="G23" s="13" t="str">
        <f>IF(G22=37.5,"Full Time",IF(AND(G22&lt;37.5,G22&gt;0),"Part Time",IF(OR(G22&gt;37.5,G22&lt;1),"Error")))</f>
        <v>Full Time</v>
      </c>
    </row>
    <row r="24" spans="2:13" ht="24.95" customHeight="1">
      <c r="B24" s="11"/>
      <c r="C24" s="35"/>
      <c r="D24" s="22" t="s">
        <v>14</v>
      </c>
      <c r="E24" s="44"/>
      <c r="F24" s="44"/>
      <c r="G24" s="34"/>
    </row>
    <row r="25" spans="2:13" ht="20.25">
      <c r="B25" s="11"/>
      <c r="C25" s="35"/>
      <c r="D25" s="21"/>
      <c r="E25" s="44"/>
      <c r="F25" s="44"/>
      <c r="G25" s="34"/>
    </row>
    <row r="26" spans="2:13" ht="21" thickBot="1">
      <c r="B26" s="11"/>
      <c r="C26" s="35"/>
      <c r="D26" s="21" t="s">
        <v>15</v>
      </c>
      <c r="E26" s="11"/>
      <c r="F26" s="11"/>
      <c r="G26" s="34"/>
    </row>
    <row r="27" spans="2:13" ht="21" thickBot="1">
      <c r="B27" s="11"/>
      <c r="C27" s="35"/>
      <c r="D27" s="25" t="s">
        <v>16</v>
      </c>
      <c r="E27" s="23"/>
      <c r="F27" s="23"/>
      <c r="G27" s="147" t="s">
        <v>1</v>
      </c>
      <c r="J27" s="28" t="b">
        <f>IF(G27&gt;0,TRUE,FALSE)</f>
        <v>1</v>
      </c>
      <c r="L27" s="28">
        <f t="shared" ref="L27" si="3">COUNTIF(J27,"True")</f>
        <v>1</v>
      </c>
    </row>
    <row r="28" spans="2:13" ht="20.25">
      <c r="B28" s="11"/>
      <c r="C28" s="35"/>
      <c r="D28" s="74"/>
      <c r="E28" s="11"/>
      <c r="F28" s="11"/>
      <c r="G28" s="18"/>
    </row>
    <row r="29" spans="2:13" ht="20.25">
      <c r="B29" s="11"/>
      <c r="C29" s="35"/>
    </row>
    <row r="30" spans="2:13" ht="23.25">
      <c r="B30" s="9" t="s">
        <v>17</v>
      </c>
      <c r="C30" s="43" t="s">
        <v>8</v>
      </c>
      <c r="D30" s="9" t="s">
        <v>18</v>
      </c>
    </row>
    <row r="31" spans="2:13">
      <c r="B31" s="4"/>
      <c r="C31" s="45"/>
      <c r="D31" s="4"/>
    </row>
    <row r="32" spans="2:13" ht="18" customHeight="1">
      <c r="D32" s="165" t="s">
        <v>19</v>
      </c>
      <c r="E32" s="166"/>
      <c r="F32" s="166"/>
      <c r="G32" s="167"/>
    </row>
    <row r="33" spans="3:9" ht="18" customHeight="1">
      <c r="D33" s="168"/>
      <c r="E33" s="169"/>
      <c r="F33" s="169"/>
      <c r="G33" s="170"/>
    </row>
    <row r="34" spans="3:9" ht="18" customHeight="1">
      <c r="D34" s="168"/>
      <c r="E34" s="169"/>
      <c r="F34" s="169"/>
      <c r="G34" s="170"/>
    </row>
    <row r="35" spans="3:9" ht="18" customHeight="1">
      <c r="D35" s="168"/>
      <c r="E35" s="169"/>
      <c r="F35" s="169"/>
      <c r="G35" s="170"/>
    </row>
    <row r="36" spans="3:9" ht="18" customHeight="1">
      <c r="D36" s="168"/>
      <c r="E36" s="169"/>
      <c r="F36" s="169"/>
      <c r="G36" s="170"/>
    </row>
    <row r="37" spans="3:9" ht="144" customHeight="1">
      <c r="D37" s="171"/>
      <c r="E37" s="172"/>
      <c r="F37" s="172"/>
      <c r="G37" s="173"/>
    </row>
    <row r="38" spans="3:9" ht="19.5" thickBot="1">
      <c r="D38" s="46"/>
      <c r="E38" s="46"/>
      <c r="F38" s="46"/>
      <c r="G38" s="46"/>
    </row>
    <row r="39" spans="3:9" ht="41.25" thickBot="1">
      <c r="C39" s="47" t="s">
        <v>20</v>
      </c>
      <c r="D39" s="48" t="s">
        <v>21</v>
      </c>
      <c r="E39" s="49" t="s">
        <v>22</v>
      </c>
      <c r="F39" s="50" t="s">
        <v>23</v>
      </c>
      <c r="H39" s="28"/>
    </row>
    <row r="40" spans="3:9" ht="24" customHeight="1">
      <c r="C40" s="51">
        <v>1</v>
      </c>
      <c r="D40" s="135" t="s">
        <v>24</v>
      </c>
      <c r="E40" s="150"/>
      <c r="F40" s="116">
        <f>E40</f>
        <v>0</v>
      </c>
      <c r="H40" s="28"/>
    </row>
    <row r="41" spans="3:9" ht="24" customHeight="1">
      <c r="C41" s="51">
        <v>2</v>
      </c>
      <c r="D41" s="136" t="s">
        <v>25</v>
      </c>
      <c r="E41" s="151"/>
      <c r="F41" s="117">
        <f>E41</f>
        <v>0</v>
      </c>
      <c r="H41" s="28"/>
    </row>
    <row r="42" spans="3:9" ht="24" customHeight="1">
      <c r="C42" s="51">
        <v>3</v>
      </c>
      <c r="D42" s="136" t="s">
        <v>26</v>
      </c>
      <c r="E42" s="151"/>
      <c r="F42" s="212"/>
      <c r="H42" s="28"/>
    </row>
    <row r="43" spans="3:9" ht="24" customHeight="1">
      <c r="C43" s="51">
        <v>4</v>
      </c>
      <c r="D43" s="136" t="s">
        <v>27</v>
      </c>
      <c r="E43" s="151"/>
      <c r="F43" s="213"/>
      <c r="H43" s="28"/>
    </row>
    <row r="44" spans="3:9" ht="24" customHeight="1">
      <c r="C44" s="51">
        <v>5</v>
      </c>
      <c r="D44" s="136" t="s">
        <v>28</v>
      </c>
      <c r="E44" s="151"/>
      <c r="F44" s="213"/>
      <c r="G44" s="219"/>
      <c r="H44" s="220"/>
      <c r="I44" s="220"/>
    </row>
    <row r="45" spans="3:9" ht="24" customHeight="1">
      <c r="C45" s="51">
        <v>6</v>
      </c>
      <c r="D45" s="136" t="s">
        <v>29</v>
      </c>
      <c r="E45" s="151"/>
      <c r="F45" s="213"/>
      <c r="G45" s="219"/>
      <c r="H45" s="220"/>
      <c r="I45" s="220"/>
    </row>
    <row r="46" spans="3:9" ht="24" customHeight="1">
      <c r="C46" s="51">
        <v>7</v>
      </c>
      <c r="D46" s="136" t="s">
        <v>30</v>
      </c>
      <c r="E46" s="154"/>
      <c r="F46" s="213"/>
      <c r="H46" s="28"/>
    </row>
    <row r="47" spans="3:9" ht="24" customHeight="1">
      <c r="C47" s="51">
        <v>8</v>
      </c>
      <c r="D47" s="136" t="s">
        <v>31</v>
      </c>
      <c r="E47" s="151"/>
      <c r="F47" s="213"/>
      <c r="H47" s="28"/>
    </row>
    <row r="48" spans="3:9" ht="24" customHeight="1">
      <c r="C48" s="51">
        <v>9</v>
      </c>
      <c r="D48" s="136" t="s">
        <v>32</v>
      </c>
      <c r="E48" s="151"/>
      <c r="F48" s="213"/>
      <c r="H48" s="28"/>
    </row>
    <row r="49" spans="2:8" ht="24" customHeight="1">
      <c r="C49" s="51">
        <v>10</v>
      </c>
      <c r="D49" s="136" t="s">
        <v>33</v>
      </c>
      <c r="E49" s="151"/>
      <c r="F49" s="213"/>
      <c r="H49" s="28"/>
    </row>
    <row r="50" spans="2:8" ht="24" customHeight="1">
      <c r="C50" s="51">
        <v>11</v>
      </c>
      <c r="D50" s="136" t="s">
        <v>34</v>
      </c>
      <c r="E50" s="151"/>
      <c r="F50" s="213"/>
      <c r="H50" s="28"/>
    </row>
    <row r="51" spans="2:8" ht="24" customHeight="1">
      <c r="C51" s="97">
        <v>12</v>
      </c>
      <c r="D51" s="137" t="s">
        <v>35</v>
      </c>
      <c r="E51" s="151">
        <v>0</v>
      </c>
      <c r="F51" s="213"/>
      <c r="H51" s="28"/>
    </row>
    <row r="52" spans="2:8" ht="24" customHeight="1">
      <c r="C52" s="97">
        <v>13</v>
      </c>
      <c r="D52" s="139" t="s">
        <v>36</v>
      </c>
      <c r="E52" s="151">
        <v>0</v>
      </c>
      <c r="F52" s="213"/>
      <c r="H52" s="28"/>
    </row>
    <row r="53" spans="2:8" ht="24" customHeight="1">
      <c r="C53" s="97">
        <v>14</v>
      </c>
      <c r="D53" s="140" t="s">
        <v>37</v>
      </c>
      <c r="E53" s="151">
        <v>0</v>
      </c>
      <c r="F53" s="213"/>
      <c r="H53" s="28"/>
    </row>
    <row r="54" spans="2:8" ht="24" customHeight="1" thickBot="1">
      <c r="C54" s="27">
        <v>15</v>
      </c>
      <c r="D54" s="138" t="s">
        <v>38</v>
      </c>
      <c r="E54" s="118">
        <f>SUM(E40:E53)</f>
        <v>0</v>
      </c>
      <c r="F54" s="119">
        <f>IF(OR(F41&gt;E41,F40&gt;E40),"Error",F40+F41)</f>
        <v>0</v>
      </c>
      <c r="H54" s="28"/>
    </row>
    <row r="55" spans="2:8" ht="19.5" customHeight="1" thickTop="1">
      <c r="D55" s="75" t="str">
        <f>IF(E54&lt;0,"Missing Information Above","")</f>
        <v/>
      </c>
      <c r="F55" s="80"/>
      <c r="G55" s="80"/>
    </row>
    <row r="56" spans="2:8" ht="24" customHeight="1">
      <c r="D56" s="77" t="s">
        <v>39</v>
      </c>
      <c r="F56" s="80"/>
      <c r="G56" s="80"/>
    </row>
    <row r="57" spans="2:8" ht="10.5" customHeight="1">
      <c r="D57" s="77"/>
      <c r="F57" s="80"/>
      <c r="G57" s="80"/>
    </row>
    <row r="58" spans="2:8" ht="24" customHeight="1">
      <c r="C58" s="97">
        <v>14</v>
      </c>
      <c r="D58" s="76" t="s">
        <v>40</v>
      </c>
      <c r="E58" s="81" t="s">
        <v>373</v>
      </c>
      <c r="F58" s="80"/>
      <c r="G58" s="80"/>
    </row>
    <row r="59" spans="2:8" ht="24" customHeight="1">
      <c r="C59" s="51">
        <v>15</v>
      </c>
      <c r="D59" s="76" t="s">
        <v>41</v>
      </c>
      <c r="E59" s="81" t="s">
        <v>373</v>
      </c>
      <c r="F59" s="80"/>
      <c r="G59" s="80"/>
    </row>
    <row r="60" spans="2:8" ht="29.25" customHeight="1">
      <c r="F60" s="80"/>
      <c r="G60" s="80"/>
    </row>
    <row r="61" spans="2:8" ht="23.25">
      <c r="B61" s="9" t="s">
        <v>42</v>
      </c>
      <c r="C61" s="52"/>
      <c r="D61" s="9" t="s">
        <v>43</v>
      </c>
      <c r="F61" s="80"/>
      <c r="G61" s="80"/>
    </row>
    <row r="62" spans="2:8" ht="18.75" thickBot="1">
      <c r="B62" s="3" t="s">
        <v>44</v>
      </c>
      <c r="D62" s="4"/>
      <c r="F62" s="80"/>
      <c r="G62" s="80"/>
    </row>
    <row r="63" spans="2:8" ht="23.1" customHeight="1" thickBot="1">
      <c r="C63" s="7"/>
      <c r="D63" s="26" t="s">
        <v>45</v>
      </c>
      <c r="E63" s="120" t="str">
        <f>IF(E54&gt;=5000,VLOOKUP(5000,Sal,2,TRUE),IF(E54&gt;=3000,VLOOKUP(3000,Sal,2,FALSE),IF(E54&gt;=2000,VLOOKUP(2000,Sal,2,FALSE),IF(E54&gt;=1500,VLOOKUP(1500,Sal,2,FALSE),IF(E54&gt;=1000,VLOOKUP(1000,Sal,2,FALSE),IF(E54&gt;=700,VLOOKUP(700,Sal,2,FALSE),IF(E54&gt;=400,VLOOKUP(400,Sal,2,FALSE),IF(E54&gt;=170,VLOOKUP(170,Sal,2,FALSE),IF(E54&gt;=60,VLOOKUP(60,Sal,2,FALSE),IF(E54&gt;=30,VLOOKUP(30,Sal,2,FALSE),IF(E54&gt;=1,VLOOKUP(1,Sal,2,FALSE),IF(E54&gt;=0," "))))))))))))</f>
        <v xml:space="preserve"> </v>
      </c>
      <c r="G63" s="5"/>
    </row>
    <row r="64" spans="2:8" ht="21" thickBot="1">
      <c r="C64" s="7"/>
      <c r="D64" s="10"/>
      <c r="E64" s="121"/>
      <c r="G64" s="5"/>
    </row>
    <row r="65" spans="2:17" ht="23.1" customHeight="1" thickBot="1">
      <c r="C65" s="7"/>
      <c r="D65" s="26" t="s">
        <v>46</v>
      </c>
      <c r="E65" s="122" t="e">
        <f>MIN(30000,IF(E54&gt;='Salary Lookup'!D17,E54-'Salary Lookup'!D17,IF(E54&gt;='Salary Lookup'!D16,E54-'Salary Lookup'!D16,IF(E54&gt;='Salary Lookup'!D15,E54-'Salary Lookup'!D15,IF(E54&gt;='Salary Lookup'!D14,E54-'Salary Lookup'!D14,IF(E54&gt;='Salary Lookup'!D13,E54-'Salary Lookup'!D13,IF(E54&gt;='Salary Lookup'!D12,E54-'Salary Lookup'!D12,IF(E54&gt;='Salary Lookup'!D11,E54-'Salary Lookup'!D11,IF(E54&gt;='Salary Lookup'!D10,E54-'Salary Lookup'!D10,IF(E54&gt;='Salary Lookup'!D9,E54-'Salary Lookup'!D9,IF(E54&gt;='Salary Lookup'!D8,E54-'Salary Lookup'!D8,IF(E54&gt;='Salary Lookup'!D7,E54-'Salary Lookup'!D7,IF(E54&gt;=0," ")))))))))))))</f>
        <v>#VALUE!</v>
      </c>
      <c r="F65" s="7"/>
      <c r="G65" s="5"/>
    </row>
    <row r="66" spans="2:17" ht="21" thickBot="1">
      <c r="C66" s="7"/>
      <c r="D66" s="10"/>
      <c r="E66" s="121"/>
      <c r="F66" s="7"/>
      <c r="G66" s="5"/>
    </row>
    <row r="67" spans="2:17" ht="23.1" customHeight="1" thickBot="1">
      <c r="C67" s="7"/>
      <c r="D67" s="26" t="s">
        <v>47</v>
      </c>
      <c r="E67" s="123" t="str">
        <f>IF(E54&gt;=5000,VLOOKUP(5000,Sal,4,FALSE),IF(E54&gt;=3000,VLOOKUP(3000,Sal,4,FALSE),IF(E54&gt;=2000,VLOOKUP(2000,Sal,4,FALSE),IF(E54&gt;=1500,VLOOKUP(1500,Sal,4,FALSE),IF(E54&gt;=1000,VLOOKUP(1000,Sal,4,FALSE),IF(E54&gt;=700,VLOOKUP(700,Sal,4,FALSE),IF(E54&gt;=400,VLOOKUP(400,Sal,4,FALSE),IF(E54&gt;=170,VLOOKUP(170,Sal,4,FALSE),IF(E54&gt;=60,VLOOKUP(60,Sal,4,FALSE),IF(E54&gt;=30,VLOOKUP(30,Sal,4,FALSE),IF(E54&gt;=1,VLOOKUP(1,Sal,4,FALSE),IF(E54&gt;=0," "))))))))))))</f>
        <v xml:space="preserve"> </v>
      </c>
      <c r="F67" s="7"/>
      <c r="G67" s="5"/>
    </row>
    <row r="68" spans="2:17" ht="21" thickBot="1">
      <c r="C68" s="7"/>
      <c r="D68" s="10"/>
      <c r="E68" s="121"/>
      <c r="F68" s="7"/>
      <c r="G68" s="5"/>
    </row>
    <row r="69" spans="2:17" ht="23.1" customHeight="1">
      <c r="C69" s="7"/>
      <c r="D69" s="26" t="s">
        <v>48</v>
      </c>
      <c r="E69" s="120" t="e">
        <f>MIN(189000,IF(E54&gt;=5000,(E54-5000)*E67,IF(E54&gt;=3000,(E54-3000)*E67,IF(E54&gt;=2000,(E54-2000)*E67,IF(E54&gt;=1500,(E54-1500)*E67,IF(E54&gt;=1000,(E54-1000)*E67,IF(E54&gt;=700,(E54-700)*E67,IF(E54&gt;=400,(E54-400)*E67,IF(E54&gt;=170,(E54-170)*E67,IF(E54&gt;=60,(E54-60)*E67,IF(E54&gt;=30,(E54-30)*E67,IF(E54&gt;=1,(E54-1)*E67,IF(E54&gt;=0," ")))))))))))))</f>
        <v>#VALUE!</v>
      </c>
      <c r="F69" s="144"/>
      <c r="G69" s="5"/>
    </row>
    <row r="70" spans="2:17" ht="21" thickBot="1">
      <c r="D70" s="11"/>
      <c r="E70" s="124"/>
      <c r="G70" s="5"/>
    </row>
    <row r="71" spans="2:17" ht="23.1" customHeight="1" thickBot="1">
      <c r="D71" s="12" t="s">
        <v>49</v>
      </c>
      <c r="E71" s="120" t="e">
        <f>MIN(214726,E69+E63)</f>
        <v>#VALUE!</v>
      </c>
      <c r="F71" s="89"/>
      <c r="G71" s="5"/>
      <c r="Q71" s="95" t="s">
        <v>50</v>
      </c>
    </row>
    <row r="72" spans="2:17" ht="21" thickBot="1">
      <c r="D72" s="11"/>
      <c r="E72" s="16"/>
      <c r="F72" s="89"/>
      <c r="G72" s="8"/>
    </row>
    <row r="73" spans="2:17" ht="21" thickBot="1">
      <c r="D73" s="12" t="s">
        <v>51</v>
      </c>
      <c r="E73" s="15" t="str">
        <f>IF(G22&gt;=37.5,"Error",IF(G22&lt;37.5,(G22/37.5)*E71,""))</f>
        <v>Error</v>
      </c>
      <c r="G73" s="8"/>
    </row>
    <row r="74" spans="2:17">
      <c r="E74" s="6"/>
      <c r="G74" s="96"/>
    </row>
    <row r="75" spans="2:17">
      <c r="E75" s="6"/>
      <c r="G75" s="8"/>
    </row>
    <row r="76" spans="2:17" ht="23.25">
      <c r="B76" s="9" t="s">
        <v>52</v>
      </c>
      <c r="C76" s="43"/>
      <c r="D76" s="9" t="s">
        <v>53</v>
      </c>
      <c r="E76" s="6"/>
      <c r="G76" s="8"/>
    </row>
    <row r="77" spans="2:17" ht="18.75" thickBot="1">
      <c r="B77" s="3" t="s">
        <v>44</v>
      </c>
      <c r="E77" s="6"/>
      <c r="G77" s="8"/>
    </row>
    <row r="78" spans="2:17" ht="23.1" customHeight="1" thickBot="1">
      <c r="D78" s="26" t="s">
        <v>54</v>
      </c>
      <c r="E78" s="125">
        <f>N78+O78+P78</f>
        <v>0</v>
      </c>
      <c r="F78" s="89"/>
      <c r="H78" s="8"/>
      <c r="N78" s="78">
        <f>COUNTIF(E58,"Yes")</f>
        <v>0</v>
      </c>
      <c r="O78" s="78">
        <f>COUNTIF(E59,"Yes")</f>
        <v>0</v>
      </c>
      <c r="P78" s="79">
        <f>COUNTIF((E5:E53),"&gt;0")</f>
        <v>0</v>
      </c>
    </row>
    <row r="79" spans="2:17" ht="21" thickBot="1">
      <c r="D79" s="10"/>
      <c r="E79" s="126"/>
      <c r="G79" s="8"/>
    </row>
    <row r="80" spans="2:17" ht="23.1" customHeight="1" thickBot="1">
      <c r="D80" s="26" t="s">
        <v>55</v>
      </c>
      <c r="E80" s="120" t="e">
        <f>VLOOKUP(MIN(E78,10),PROGRAM_FACTOR,2,FALSE)</f>
        <v>#N/A</v>
      </c>
      <c r="G80" s="8"/>
    </row>
    <row r="81" spans="2:17">
      <c r="E81" s="127"/>
      <c r="G81" s="8"/>
    </row>
    <row r="82" spans="2:17">
      <c r="E82" s="127"/>
      <c r="G82" s="8"/>
    </row>
    <row r="83" spans="2:17" ht="23.25">
      <c r="B83" s="9" t="s">
        <v>56</v>
      </c>
      <c r="C83" s="43"/>
      <c r="D83" s="9" t="s">
        <v>57</v>
      </c>
      <c r="E83" s="127"/>
      <c r="G83" s="8"/>
    </row>
    <row r="84" spans="2:17" ht="18.75" thickBot="1">
      <c r="B84" s="3" t="s">
        <v>44</v>
      </c>
      <c r="E84" s="127"/>
      <c r="G84" s="8"/>
    </row>
    <row r="85" spans="2:17" ht="23.1" customHeight="1" thickBot="1">
      <c r="D85" s="26" t="s">
        <v>58</v>
      </c>
      <c r="E85" s="128">
        <f>F54</f>
        <v>0</v>
      </c>
      <c r="G85" s="8"/>
    </row>
    <row r="86" spans="2:17" ht="21" thickBot="1">
      <c r="D86" s="10"/>
      <c r="E86" s="129"/>
      <c r="G86" s="8"/>
    </row>
    <row r="87" spans="2:17" ht="23.1" customHeight="1" thickBot="1">
      <c r="D87" s="26" t="s">
        <v>59</v>
      </c>
      <c r="E87" s="130" t="str">
        <f>IF(E85&gt;=700,'Salary Lookup'!G28,IF(E85&gt;=400,'Salary Lookup'!G27,IF(E85&gt;=200,'Salary Lookup'!G26,IF(E85&gt;=100,'Salary Lookup'!G25,IF(E85&gt;=50,'Salary Lookup'!G24,IF(E85&gt;=1,'Salary Lookup'!G23,IF(E85&gt;=0,"0",IF(E85 = "Error",'Salary Lookup'!G29))))))))</f>
        <v>0</v>
      </c>
      <c r="G87" s="8"/>
    </row>
    <row r="88" spans="2:17" ht="23.25">
      <c r="B88" s="52"/>
      <c r="E88" s="127"/>
      <c r="G88" s="8"/>
    </row>
    <row r="89" spans="2:17" ht="23.25">
      <c r="B89" s="52"/>
      <c r="E89" s="127"/>
      <c r="G89" s="8"/>
    </row>
    <row r="90" spans="2:17" ht="23.25">
      <c r="B90" s="9" t="s">
        <v>60</v>
      </c>
      <c r="C90" s="43"/>
      <c r="D90" s="9" t="s">
        <v>61</v>
      </c>
      <c r="E90" s="127"/>
      <c r="G90" s="8"/>
    </row>
    <row r="91" spans="2:17" ht="18.75" thickBot="1">
      <c r="B91" s="3" t="s">
        <v>44</v>
      </c>
      <c r="E91" s="127"/>
      <c r="G91" s="8"/>
    </row>
    <row r="92" spans="2:17" ht="23.1" customHeight="1" thickBot="1">
      <c r="D92" s="26" t="str">
        <f>IF(G23="Full Time","Full Time LHA Calculated Salary Maximum",IF(G23="Part Time","Part Time (Prorated) LHA Calculated Salary Maximum",IF(G23="Error","Error")))</f>
        <v>Full Time LHA Calculated Salary Maximum</v>
      </c>
      <c r="E92" s="148" t="e">
        <f>IF(G23="Error","Error",IF(F54="Error","Error",IF(G23="Full Time",MIN(214726,E71+E80+E87),IF(G23="Part Time",MIN(214726,E73+E80+E87)))))</f>
        <v>#VALUE!</v>
      </c>
      <c r="F92" s="143" t="s">
        <v>1</v>
      </c>
      <c r="G92" s="8"/>
      <c r="Q92" s="95" t="s">
        <v>50</v>
      </c>
    </row>
    <row r="93" spans="2:17" ht="20.25">
      <c r="D93" s="10"/>
      <c r="E93" s="11"/>
      <c r="G93" s="8"/>
    </row>
    <row r="94" spans="2:17" ht="20.25">
      <c r="D94" s="10"/>
      <c r="E94" s="11"/>
      <c r="G94" s="8"/>
    </row>
    <row r="95" spans="2:17" ht="18" customHeight="1">
      <c r="D95" s="185" t="s">
        <v>62</v>
      </c>
      <c r="E95" s="186"/>
      <c r="F95" s="186"/>
      <c r="G95" s="187"/>
    </row>
    <row r="96" spans="2:17" ht="18" customHeight="1">
      <c r="D96" s="188"/>
      <c r="E96" s="189"/>
      <c r="F96" s="189"/>
      <c r="G96" s="190"/>
    </row>
    <row r="97" spans="2:28" ht="33" customHeight="1">
      <c r="D97" s="207"/>
      <c r="E97" s="208"/>
      <c r="F97" s="208"/>
      <c r="G97" s="209"/>
    </row>
    <row r="98" spans="2:28">
      <c r="G98" s="8"/>
    </row>
    <row r="99" spans="2:28">
      <c r="G99" s="8"/>
    </row>
    <row r="100" spans="2:28" ht="23.25">
      <c r="B100" s="9" t="s">
        <v>63</v>
      </c>
      <c r="C100" s="30" t="s">
        <v>8</v>
      </c>
      <c r="D100" s="152" t="s">
        <v>64</v>
      </c>
      <c r="G100" s="8"/>
    </row>
    <row r="101" spans="2:28" ht="20.25">
      <c r="B101" s="31"/>
      <c r="C101" s="11"/>
      <c r="D101" s="31"/>
      <c r="G101" s="8"/>
    </row>
    <row r="102" spans="2:28" ht="20.25">
      <c r="B102" s="31"/>
      <c r="C102" s="11"/>
      <c r="D102" s="211" t="s">
        <v>65</v>
      </c>
      <c r="E102" s="186"/>
      <c r="F102" s="186"/>
      <c r="G102" s="187"/>
    </row>
    <row r="103" spans="2:28" ht="83.25" customHeight="1">
      <c r="B103" s="31"/>
      <c r="C103" s="11"/>
      <c r="D103" s="207"/>
      <c r="E103" s="208"/>
      <c r="F103" s="208"/>
      <c r="G103" s="209"/>
      <c r="Q103" s="210" t="s">
        <v>66</v>
      </c>
      <c r="R103" s="210"/>
      <c r="S103" s="210"/>
      <c r="T103" s="210"/>
      <c r="U103" s="210"/>
      <c r="V103" s="210"/>
      <c r="W103" s="210"/>
      <c r="X103" s="210"/>
      <c r="Y103" s="210"/>
      <c r="Z103" s="210"/>
      <c r="AA103" s="210"/>
      <c r="AB103" s="210"/>
    </row>
    <row r="104" spans="2:28" ht="21.75" customHeight="1">
      <c r="B104" s="31"/>
      <c r="C104" s="11"/>
      <c r="D104" s="53"/>
      <c r="G104" s="8"/>
    </row>
    <row r="105" spans="2:28" ht="21.75" customHeight="1">
      <c r="B105" s="31"/>
      <c r="C105" s="11"/>
      <c r="D105" s="53"/>
      <c r="G105" s="8"/>
    </row>
    <row r="106" spans="2:28" ht="23.25">
      <c r="B106" s="54"/>
      <c r="C106" s="30" t="s">
        <v>8</v>
      </c>
      <c r="D106" s="9" t="s">
        <v>67</v>
      </c>
      <c r="F106" s="4"/>
      <c r="G106" s="218" t="s">
        <v>68</v>
      </c>
      <c r="H106" s="218"/>
    </row>
    <row r="107" spans="2:28" ht="18.75" thickBot="1">
      <c r="G107" s="55"/>
      <c r="H107" s="55"/>
      <c r="J107" s="56"/>
      <c r="K107" s="56"/>
      <c r="L107" s="56"/>
      <c r="M107" s="56"/>
    </row>
    <row r="108" spans="2:28" ht="23.1" customHeight="1" thickBot="1">
      <c r="D108" s="26" t="s">
        <v>69</v>
      </c>
      <c r="E108" s="146">
        <v>0</v>
      </c>
      <c r="F108" s="57" t="str">
        <f>IF(E108&gt;0,"è","  ")</f>
        <v xml:space="preserve">  </v>
      </c>
      <c r="G108" s="202"/>
      <c r="H108" s="203"/>
      <c r="J108" s="56">
        <f>IF(E108&gt;0,1,0)</f>
        <v>0</v>
      </c>
      <c r="K108" s="56"/>
      <c r="L108" s="56" t="b">
        <f>ISTEXT(G108)</f>
        <v>0</v>
      </c>
      <c r="M108" s="56" t="str">
        <f>IF(ISTEXT(L108),1,"")</f>
        <v/>
      </c>
      <c r="N108" s="58"/>
    </row>
    <row r="109" spans="2:28" ht="23.1" customHeight="1" thickBot="1">
      <c r="D109" s="26" t="s">
        <v>70</v>
      </c>
      <c r="E109" s="146">
        <v>0</v>
      </c>
      <c r="F109" s="57" t="str">
        <f t="shared" ref="F109:F112" si="4">IF(E109&gt;0,"è","  ")</f>
        <v xml:space="preserve">  </v>
      </c>
      <c r="G109" s="202"/>
      <c r="H109" s="203"/>
      <c r="J109" s="56">
        <f>IF(E109&gt;0,1,0)</f>
        <v>0</v>
      </c>
      <c r="K109" s="56"/>
      <c r="L109" s="56" t="b">
        <f>ISTEXT(G109)</f>
        <v>0</v>
      </c>
      <c r="M109" s="56"/>
      <c r="N109" s="58"/>
    </row>
    <row r="110" spans="2:28" ht="23.1" customHeight="1" thickBot="1">
      <c r="D110" s="26" t="s">
        <v>71</v>
      </c>
      <c r="E110" s="146">
        <v>0</v>
      </c>
      <c r="F110" s="57" t="str">
        <f t="shared" si="4"/>
        <v xml:space="preserve">  </v>
      </c>
      <c r="G110" s="202"/>
      <c r="H110" s="203"/>
      <c r="J110" s="56">
        <f>IF(E110&gt;0,1,0)</f>
        <v>0</v>
      </c>
      <c r="K110" s="56"/>
      <c r="L110" s="56" t="b">
        <f>ISTEXT(G110)</f>
        <v>0</v>
      </c>
      <c r="M110" s="56"/>
      <c r="N110" s="58"/>
    </row>
    <row r="111" spans="2:28" ht="23.1" customHeight="1" thickBot="1">
      <c r="D111" s="26" t="s">
        <v>72</v>
      </c>
      <c r="E111" s="146">
        <v>0</v>
      </c>
      <c r="F111" s="57" t="str">
        <f t="shared" ref="F111" si="5">IF(E111&gt;0,"è","  ")</f>
        <v xml:space="preserve">  </v>
      </c>
      <c r="G111" s="202"/>
      <c r="H111" s="203"/>
      <c r="J111" s="56">
        <f>IF(E111&gt;0,1,0)</f>
        <v>0</v>
      </c>
      <c r="K111" s="56"/>
      <c r="L111" s="56" t="b">
        <f>ISTEXT(G111)</f>
        <v>0</v>
      </c>
      <c r="M111" s="56"/>
      <c r="N111" s="58"/>
    </row>
    <row r="112" spans="2:28" ht="23.1" customHeight="1" thickBot="1">
      <c r="D112" s="26" t="s">
        <v>73</v>
      </c>
      <c r="E112" s="146">
        <v>0</v>
      </c>
      <c r="F112" s="57" t="str">
        <f t="shared" si="4"/>
        <v xml:space="preserve">  </v>
      </c>
      <c r="G112" s="202"/>
      <c r="H112" s="203"/>
      <c r="J112" s="56">
        <f>IF(E112&gt;0,1,0)</f>
        <v>0</v>
      </c>
      <c r="K112" s="56"/>
      <c r="L112" s="56" t="b">
        <f>ISTEXT(G112)</f>
        <v>0</v>
      </c>
      <c r="M112" s="56"/>
      <c r="N112" s="58"/>
    </row>
    <row r="113" spans="1:17" ht="23.25">
      <c r="C113" s="30" t="s">
        <v>8</v>
      </c>
      <c r="D113" s="9" t="s">
        <v>74</v>
      </c>
      <c r="F113" s="11"/>
      <c r="G113" s="204" t="s">
        <v>75</v>
      </c>
      <c r="H113" s="204"/>
      <c r="J113" s="56">
        <f>SUM(J108:J112)</f>
        <v>0</v>
      </c>
      <c r="K113" s="56"/>
      <c r="L113" s="56">
        <f>COUNTIF(L108:L112,"True")</f>
        <v>0</v>
      </c>
      <c r="M113" s="56"/>
      <c r="N113" s="58"/>
    </row>
    <row r="114" spans="1:17">
      <c r="J114" s="56"/>
      <c r="K114" s="56"/>
      <c r="L114" s="56"/>
      <c r="M114" s="56"/>
      <c r="N114" s="58"/>
    </row>
    <row r="115" spans="1:17" ht="21" thickBot="1">
      <c r="D115" s="4"/>
      <c r="F115" s="11"/>
      <c r="G115" s="8"/>
      <c r="J115" s="56"/>
      <c r="K115" s="56"/>
      <c r="L115" s="56"/>
      <c r="M115" s="56"/>
      <c r="N115" s="58"/>
    </row>
    <row r="116" spans="1:17" ht="23.1" customHeight="1" thickBot="1">
      <c r="D116" s="26" t="s">
        <v>76</v>
      </c>
      <c r="E116" s="146">
        <v>0</v>
      </c>
      <c r="F116" s="57" t="str">
        <f>IF(E116&gt;0,"è","  ")</f>
        <v xml:space="preserve">  </v>
      </c>
      <c r="G116" s="205"/>
      <c r="H116" s="206"/>
      <c r="J116" s="56">
        <f>IF(E116&gt;0,1,0)</f>
        <v>0</v>
      </c>
      <c r="K116" s="56"/>
      <c r="L116" s="56" t="b">
        <f t="shared" ref="L116:L123" si="6">ISTEXT(G116)</f>
        <v>0</v>
      </c>
      <c r="M116" s="56"/>
      <c r="N116" s="58"/>
    </row>
    <row r="117" spans="1:17" ht="23.1" customHeight="1" thickBot="1">
      <c r="D117" s="26" t="s">
        <v>77</v>
      </c>
      <c r="E117" s="146">
        <v>0</v>
      </c>
      <c r="F117" s="57" t="str">
        <f>IF(E117&gt;0,"è","  ")</f>
        <v xml:space="preserve">  </v>
      </c>
      <c r="G117" s="205"/>
      <c r="H117" s="206"/>
      <c r="J117" s="56">
        <f t="shared" ref="J117:J123" si="7">IF(E117&gt;0,1,0)</f>
        <v>0</v>
      </c>
      <c r="K117" s="56"/>
      <c r="L117" s="56" t="b">
        <f t="shared" si="6"/>
        <v>0</v>
      </c>
      <c r="M117" s="56"/>
      <c r="N117" s="58"/>
    </row>
    <row r="118" spans="1:17" ht="23.1" customHeight="1" thickBot="1">
      <c r="D118" s="26" t="s">
        <v>78</v>
      </c>
      <c r="E118" s="146">
        <v>0</v>
      </c>
      <c r="F118" s="57" t="str">
        <f>IF(E118&gt;0,"è","  ")</f>
        <v xml:space="preserve">  </v>
      </c>
      <c r="G118" s="205"/>
      <c r="H118" s="206"/>
      <c r="J118" s="56">
        <f t="shared" si="7"/>
        <v>0</v>
      </c>
      <c r="K118" s="56"/>
      <c r="L118" s="56" t="b">
        <f t="shared" si="6"/>
        <v>0</v>
      </c>
      <c r="M118" s="56"/>
      <c r="N118" s="58"/>
    </row>
    <row r="119" spans="1:17" ht="23.1" customHeight="1" thickBot="1">
      <c r="D119" s="26" t="s">
        <v>79</v>
      </c>
      <c r="E119" s="146">
        <v>0</v>
      </c>
      <c r="F119" s="57" t="str">
        <f t="shared" ref="F119:F123" si="8">IF(E119&gt;0,"è","  ")</f>
        <v xml:space="preserve">  </v>
      </c>
      <c r="G119" s="205"/>
      <c r="H119" s="206"/>
      <c r="J119" s="56">
        <f t="shared" si="7"/>
        <v>0</v>
      </c>
      <c r="K119" s="56"/>
      <c r="L119" s="56" t="b">
        <f t="shared" si="6"/>
        <v>0</v>
      </c>
      <c r="M119" s="56"/>
      <c r="N119" s="58"/>
    </row>
    <row r="120" spans="1:17" ht="23.1" customHeight="1" thickBot="1">
      <c r="D120" s="26" t="s">
        <v>80</v>
      </c>
      <c r="E120" s="146">
        <v>0</v>
      </c>
      <c r="F120" s="57" t="str">
        <f t="shared" si="8"/>
        <v xml:space="preserve">  </v>
      </c>
      <c r="G120" s="205"/>
      <c r="H120" s="206"/>
      <c r="J120" s="56">
        <f t="shared" si="7"/>
        <v>0</v>
      </c>
      <c r="K120" s="56"/>
      <c r="L120" s="56" t="b">
        <f t="shared" si="6"/>
        <v>0</v>
      </c>
      <c r="M120" s="56"/>
      <c r="N120" s="58"/>
    </row>
    <row r="121" spans="1:17" ht="23.1" customHeight="1" thickBot="1">
      <c r="D121" s="26" t="s">
        <v>81</v>
      </c>
      <c r="E121" s="146">
        <v>0</v>
      </c>
      <c r="F121" s="57" t="str">
        <f t="shared" si="8"/>
        <v xml:space="preserve">  </v>
      </c>
      <c r="G121" s="205"/>
      <c r="H121" s="206"/>
      <c r="J121" s="56">
        <f t="shared" si="7"/>
        <v>0</v>
      </c>
      <c r="K121" s="56"/>
      <c r="L121" s="56" t="b">
        <f t="shared" si="6"/>
        <v>0</v>
      </c>
      <c r="M121" s="56"/>
      <c r="N121" s="58"/>
    </row>
    <row r="122" spans="1:17" ht="23.1" customHeight="1" thickBot="1">
      <c r="D122" s="26" t="s">
        <v>82</v>
      </c>
      <c r="E122" s="146">
        <v>0</v>
      </c>
      <c r="F122" s="57" t="str">
        <f t="shared" si="8"/>
        <v xml:space="preserve">  </v>
      </c>
      <c r="G122" s="205"/>
      <c r="H122" s="206"/>
      <c r="J122" s="56">
        <f t="shared" si="7"/>
        <v>0</v>
      </c>
      <c r="K122" s="56"/>
      <c r="L122" s="56" t="b">
        <f t="shared" si="6"/>
        <v>0</v>
      </c>
      <c r="M122" s="56"/>
      <c r="N122" s="58"/>
    </row>
    <row r="123" spans="1:17" ht="23.1" customHeight="1" thickBot="1">
      <c r="D123" s="26" t="s">
        <v>83</v>
      </c>
      <c r="E123" s="146">
        <v>0</v>
      </c>
      <c r="F123" s="57" t="str">
        <f t="shared" si="8"/>
        <v xml:space="preserve">  </v>
      </c>
      <c r="G123" s="205"/>
      <c r="H123" s="206"/>
      <c r="J123" s="56">
        <f t="shared" si="7"/>
        <v>0</v>
      </c>
      <c r="K123" s="56"/>
      <c r="L123" s="56" t="b">
        <f t="shared" si="6"/>
        <v>0</v>
      </c>
      <c r="M123" s="56"/>
      <c r="N123" s="58"/>
    </row>
    <row r="124" spans="1:17" ht="18.75" thickBot="1">
      <c r="G124" s="8"/>
      <c r="J124" s="56">
        <f>SUM(J116:J123)</f>
        <v>0</v>
      </c>
      <c r="K124" s="56"/>
      <c r="L124" s="56">
        <f>COUNTIF(L116:L123, TRUE)</f>
        <v>0</v>
      </c>
      <c r="M124" s="56"/>
      <c r="N124" s="58"/>
    </row>
    <row r="125" spans="1:17" ht="23.1" customHeight="1" thickBot="1">
      <c r="D125" s="59" t="str">
        <f>IF(G23="Full Time","Full Time LHA Calculated Salary Maximum Including Other Sources",IF(G23="Part Time","Part Time (Prorated) LHA Calculated Salary Maximum Including Other Sources",IF(G23="Error","Error")))</f>
        <v>Full Time LHA Calculated Salary Maximum Including Other Sources</v>
      </c>
      <c r="E125" s="149" t="e">
        <f>MIN(236198,E92+E108+E109+E110+E111+E112+E116+E117+E118+E119+E120+E121+E122+E123)</f>
        <v>#VALUE!</v>
      </c>
      <c r="G125" s="60" t="str">
        <f>IF(J113&gt;L113,"Add Owner LHA",IF(J124&gt;L124,"Add Source / Description",""))</f>
        <v/>
      </c>
      <c r="J125" s="56"/>
      <c r="K125" s="56"/>
      <c r="L125" s="56"/>
      <c r="M125" s="56"/>
      <c r="N125" s="58"/>
      <c r="Q125" s="95" t="s">
        <v>84</v>
      </c>
    </row>
    <row r="126" spans="1:17" ht="20.25">
      <c r="E126" s="31"/>
      <c r="G126" s="8"/>
      <c r="J126" s="56"/>
      <c r="K126" s="56"/>
      <c r="L126" s="56"/>
      <c r="M126" s="56"/>
    </row>
    <row r="127" spans="1:17">
      <c r="H127" s="61"/>
      <c r="I127" s="8"/>
      <c r="J127" s="56"/>
      <c r="K127" s="56"/>
      <c r="L127" s="56"/>
      <c r="M127" s="56"/>
    </row>
    <row r="128" spans="1:17" ht="23.25">
      <c r="A128" s="28"/>
      <c r="B128" s="9" t="s">
        <v>85</v>
      </c>
      <c r="C128" s="43"/>
      <c r="D128" s="9" t="s">
        <v>86</v>
      </c>
      <c r="G128" s="8"/>
      <c r="H128" s="28"/>
      <c r="J128" s="56"/>
      <c r="K128" s="56"/>
      <c r="L128" s="56"/>
      <c r="M128" s="56"/>
    </row>
    <row r="129" spans="1:17">
      <c r="A129" s="28"/>
      <c r="B129" s="4"/>
      <c r="C129" s="62"/>
      <c r="D129" s="4"/>
      <c r="G129" s="8"/>
      <c r="H129" s="28"/>
      <c r="J129" s="56"/>
      <c r="K129" s="56"/>
      <c r="L129" s="56"/>
      <c r="M129" s="56"/>
    </row>
    <row r="130" spans="1:17" ht="18" customHeight="1">
      <c r="A130" s="28"/>
      <c r="B130" s="28"/>
      <c r="C130" s="28"/>
      <c r="D130" s="185" t="s">
        <v>87</v>
      </c>
      <c r="E130" s="186"/>
      <c r="F130" s="186"/>
      <c r="G130" s="187"/>
      <c r="H130" s="28"/>
    </row>
    <row r="131" spans="1:17">
      <c r="A131" s="28"/>
      <c r="D131" s="188"/>
      <c r="E131" s="189"/>
      <c r="F131" s="189"/>
      <c r="G131" s="190"/>
      <c r="H131" s="28"/>
    </row>
    <row r="132" spans="1:17">
      <c r="A132" s="28"/>
      <c r="D132" s="188"/>
      <c r="E132" s="189"/>
      <c r="F132" s="189"/>
      <c r="G132" s="190"/>
      <c r="H132" s="28"/>
    </row>
    <row r="133" spans="1:17">
      <c r="A133" s="28"/>
      <c r="D133" s="188"/>
      <c r="E133" s="189"/>
      <c r="F133" s="189"/>
      <c r="G133" s="190"/>
      <c r="H133" s="28"/>
    </row>
    <row r="134" spans="1:17" ht="167.25" customHeight="1">
      <c r="A134" s="28"/>
      <c r="D134" s="207"/>
      <c r="E134" s="208"/>
      <c r="F134" s="208"/>
      <c r="G134" s="209"/>
      <c r="H134" s="28"/>
      <c r="Q134" s="95" t="s">
        <v>88</v>
      </c>
    </row>
    <row r="135" spans="1:17">
      <c r="A135" s="28"/>
      <c r="D135" s="63"/>
      <c r="E135" s="63"/>
      <c r="G135" s="8"/>
      <c r="H135" s="28"/>
    </row>
    <row r="136" spans="1:17" ht="18" customHeight="1">
      <c r="A136" s="28"/>
      <c r="D136" s="185" t="s">
        <v>89</v>
      </c>
      <c r="E136" s="186"/>
      <c r="F136" s="186"/>
      <c r="G136" s="187"/>
      <c r="H136" s="28"/>
    </row>
    <row r="137" spans="1:17">
      <c r="A137" s="28"/>
      <c r="D137" s="188"/>
      <c r="E137" s="189"/>
      <c r="F137" s="189"/>
      <c r="G137" s="190"/>
      <c r="H137" s="28"/>
    </row>
    <row r="138" spans="1:17">
      <c r="A138" s="28"/>
      <c r="D138" s="188"/>
      <c r="E138" s="189"/>
      <c r="F138" s="189"/>
      <c r="G138" s="190"/>
      <c r="H138" s="28"/>
    </row>
    <row r="139" spans="1:17">
      <c r="A139" s="28"/>
      <c r="D139" s="188"/>
      <c r="E139" s="189"/>
      <c r="F139" s="189"/>
      <c r="G139" s="190"/>
      <c r="H139" s="28"/>
    </row>
    <row r="140" spans="1:17">
      <c r="A140" s="28"/>
      <c r="D140" s="188"/>
      <c r="E140" s="189"/>
      <c r="F140" s="189"/>
      <c r="G140" s="190"/>
      <c r="H140" s="28"/>
    </row>
    <row r="141" spans="1:17" ht="57.75" customHeight="1">
      <c r="A141" s="28"/>
      <c r="D141" s="207"/>
      <c r="E141" s="208"/>
      <c r="F141" s="208"/>
      <c r="G141" s="209"/>
      <c r="H141" s="28"/>
    </row>
    <row r="142" spans="1:17">
      <c r="A142" s="28"/>
      <c r="G142" s="8"/>
      <c r="H142" s="28"/>
    </row>
    <row r="143" spans="1:17" ht="23.25">
      <c r="A143" s="28"/>
      <c r="D143" s="9" t="s">
        <v>90</v>
      </c>
      <c r="G143" s="8"/>
      <c r="H143" s="28"/>
    </row>
    <row r="144" spans="1:17" ht="18.75" thickBot="1">
      <c r="A144" s="28"/>
      <c r="D144" s="4"/>
      <c r="G144" s="8"/>
      <c r="H144" s="28"/>
    </row>
    <row r="145" spans="1:8" ht="21" thickBot="1">
      <c r="A145" s="28"/>
      <c r="D145" s="64" t="s">
        <v>91</v>
      </c>
      <c r="E145" s="216">
        <f>E19</f>
        <v>0</v>
      </c>
      <c r="F145" s="217"/>
      <c r="G145" s="8"/>
      <c r="H145" s="28"/>
    </row>
    <row r="146" spans="1:8" ht="21" thickBot="1">
      <c r="A146" s="28"/>
      <c r="D146" s="10"/>
      <c r="E146" s="129"/>
      <c r="F146" s="127"/>
      <c r="G146" s="8"/>
      <c r="H146" s="28"/>
    </row>
    <row r="147" spans="1:8" ht="21" thickBot="1">
      <c r="A147" s="28"/>
      <c r="D147" s="26" t="s">
        <v>11</v>
      </c>
      <c r="E147" s="214" t="str">
        <f>IF(E21="","",E21)</f>
        <v/>
      </c>
      <c r="F147" s="215"/>
      <c r="G147" s="8"/>
      <c r="H147" s="28"/>
    </row>
    <row r="148" spans="1:8" ht="21" thickBot="1">
      <c r="A148" s="28"/>
      <c r="D148" s="31"/>
      <c r="E148" s="129"/>
      <c r="F148" s="127"/>
      <c r="G148" s="8"/>
      <c r="H148" s="28"/>
    </row>
    <row r="149" spans="1:8" ht="21" thickBot="1">
      <c r="A149" s="28"/>
      <c r="D149" s="26" t="s">
        <v>92</v>
      </c>
      <c r="E149" s="125">
        <f>E78</f>
        <v>0</v>
      </c>
      <c r="F149" s="127"/>
      <c r="G149" s="8"/>
      <c r="H149" s="28"/>
    </row>
    <row r="150" spans="1:8" ht="21" thickBot="1">
      <c r="A150" s="28"/>
      <c r="D150" s="10"/>
      <c r="E150" s="129"/>
      <c r="F150" s="127"/>
      <c r="G150" s="8"/>
      <c r="H150" s="28"/>
    </row>
    <row r="151" spans="1:8" ht="21" thickBot="1">
      <c r="A151" s="28"/>
      <c r="D151" s="26" t="s">
        <v>93</v>
      </c>
      <c r="E151" s="125">
        <f>E54</f>
        <v>0</v>
      </c>
      <c r="F151" s="127"/>
      <c r="G151" s="8"/>
      <c r="H151" s="28"/>
    </row>
    <row r="152" spans="1:8" ht="21" thickBot="1">
      <c r="A152" s="28"/>
      <c r="D152" s="10"/>
      <c r="E152" s="129"/>
      <c r="F152" s="127"/>
      <c r="G152" s="8"/>
      <c r="H152" s="28"/>
    </row>
    <row r="153" spans="1:8" ht="21" thickBot="1">
      <c r="A153" s="28"/>
      <c r="D153" s="26" t="str">
        <f>IF(G23="Full Time","Full Time LHA Calculated Salary Maximum:",IF(G23="Part Time","Part Time (Prorated) LHA Calculated Salary Maximum:"))</f>
        <v>Full Time LHA Calculated Salary Maximum:</v>
      </c>
      <c r="E153" s="120" t="e">
        <f>E92</f>
        <v>#VALUE!</v>
      </c>
      <c r="F153" s="127"/>
      <c r="G153" s="8"/>
      <c r="H153" s="28"/>
    </row>
    <row r="154" spans="1:8" ht="21" thickBot="1">
      <c r="A154" s="28"/>
      <c r="D154" s="10"/>
      <c r="E154" s="131"/>
      <c r="F154" s="127"/>
      <c r="G154" s="8"/>
      <c r="H154" s="28"/>
    </row>
    <row r="155" spans="1:8" ht="21" thickBot="1">
      <c r="A155" s="28"/>
      <c r="D155" s="26" t="str">
        <f>IF(G23="Full Time","Full Time LHA Calculated Salary Maximum Including All Other Sources:",IF(G23="Part Time","Part Time (Prorated) LHA Calculated Salary Maximum Including All Other Sources:"))</f>
        <v>Full Time LHA Calculated Salary Maximum Including All Other Sources:</v>
      </c>
      <c r="E155" s="120" t="e">
        <f>E125</f>
        <v>#VALUE!</v>
      </c>
      <c r="F155" s="127"/>
      <c r="G155" s="8"/>
      <c r="H155" s="28"/>
    </row>
    <row r="156" spans="1:8" ht="21" thickBot="1">
      <c r="A156" s="28"/>
      <c r="D156" s="11"/>
      <c r="E156" s="11"/>
      <c r="G156" s="8"/>
      <c r="H156" s="28"/>
    </row>
    <row r="157" spans="1:8" ht="21" thickBot="1">
      <c r="A157" s="28"/>
      <c r="D157" s="26" t="str">
        <f>IF(G27&gt;0,"Current Approved Salary:"," ")</f>
        <v>Current Approved Salary:</v>
      </c>
      <c r="E157" s="24" t="str">
        <f>IF(G27&gt;0,G27," ")</f>
        <v xml:space="preserve"> </v>
      </c>
      <c r="G157" s="8"/>
      <c r="H157" s="28"/>
    </row>
    <row r="158" spans="1:8">
      <c r="A158" s="28"/>
      <c r="G158" s="8"/>
      <c r="H158" s="28"/>
    </row>
    <row r="159" spans="1:8" ht="18.75" thickBot="1">
      <c r="A159" s="28"/>
      <c r="G159" s="8"/>
      <c r="H159" s="28"/>
    </row>
    <row r="160" spans="1:8" ht="21.75" thickBot="1">
      <c r="A160" s="28"/>
      <c r="C160" s="30" t="s">
        <v>8</v>
      </c>
      <c r="D160" s="31" t="s">
        <v>94</v>
      </c>
      <c r="E160" s="17">
        <v>0</v>
      </c>
      <c r="F160" s="11"/>
      <c r="G160" s="65"/>
      <c r="H160" s="54"/>
    </row>
    <row r="161" spans="1:8" ht="21">
      <c r="A161" s="28"/>
      <c r="D161" s="66" t="s">
        <v>95</v>
      </c>
      <c r="E161" s="67" t="e">
        <f>IF(AND(E160&gt;E155,E160&gt;E153,E160&gt;E157),"Error: Board-Approved Salary Exceeds Allowable Maximum","")</f>
        <v>#VALUE!</v>
      </c>
      <c r="F161" s="11"/>
      <c r="G161" s="65"/>
      <c r="H161" s="54"/>
    </row>
    <row r="162" spans="1:8" ht="21">
      <c r="A162" s="28"/>
      <c r="D162" s="66"/>
      <c r="F162" s="11"/>
      <c r="G162" s="65"/>
      <c r="H162" s="54"/>
    </row>
    <row r="163" spans="1:8" ht="21.75" thickBot="1">
      <c r="A163" s="28"/>
      <c r="C163" s="30" t="s">
        <v>8</v>
      </c>
      <c r="D163" s="153" t="s">
        <v>96</v>
      </c>
      <c r="E163" s="68"/>
      <c r="F163" s="11"/>
      <c r="G163" s="65"/>
      <c r="H163" s="54"/>
    </row>
    <row r="164" spans="1:8" ht="21.75" thickBot="1">
      <c r="A164" s="28"/>
      <c r="D164" s="10" t="s">
        <v>97</v>
      </c>
      <c r="E164" s="19"/>
      <c r="F164" s="11"/>
      <c r="G164" s="65"/>
      <c r="H164" s="54"/>
    </row>
    <row r="165" spans="1:8" s="69" customFormat="1" ht="21.75" thickBot="1">
      <c r="B165" s="40"/>
      <c r="C165" s="40"/>
      <c r="D165" s="10" t="s">
        <v>98</v>
      </c>
      <c r="E165" s="20"/>
      <c r="F165" s="66"/>
      <c r="G165" s="70"/>
      <c r="H165" s="71"/>
    </row>
    <row r="166" spans="1:8" ht="21">
      <c r="A166" s="28"/>
      <c r="B166" s="28"/>
      <c r="D166" s="31"/>
      <c r="E166" s="68"/>
      <c r="F166" s="11"/>
      <c r="G166" s="65"/>
      <c r="H166" s="54"/>
    </row>
    <row r="167" spans="1:8" ht="21">
      <c r="A167" s="28"/>
      <c r="B167" s="28"/>
      <c r="D167" s="31"/>
      <c r="E167" s="68"/>
      <c r="F167" s="11"/>
      <c r="G167" s="65"/>
      <c r="H167" s="54"/>
    </row>
    <row r="168" spans="1:8" ht="21">
      <c r="A168" s="28"/>
      <c r="B168" s="28"/>
      <c r="D168" s="31"/>
      <c r="E168" s="68"/>
      <c r="F168" s="11"/>
      <c r="G168" s="65"/>
      <c r="H168" s="54"/>
    </row>
    <row r="169" spans="1:8" ht="18" customHeight="1">
      <c r="A169" s="28"/>
      <c r="B169" s="28"/>
      <c r="D169" s="200" t="s">
        <v>99</v>
      </c>
      <c r="E169" s="200"/>
      <c r="F169" s="72" t="s">
        <v>100</v>
      </c>
      <c r="G169" s="11" t="s">
        <v>101</v>
      </c>
      <c r="H169" s="54"/>
    </row>
    <row r="170" spans="1:8" ht="21">
      <c r="A170" s="28"/>
      <c r="B170" s="28"/>
      <c r="D170" s="31"/>
      <c r="E170" s="68"/>
      <c r="F170" s="11"/>
      <c r="G170" s="11"/>
      <c r="H170" s="54"/>
    </row>
    <row r="171" spans="1:8" ht="21">
      <c r="A171" s="28"/>
      <c r="B171" s="28"/>
      <c r="D171" s="201" t="s">
        <v>102</v>
      </c>
      <c r="E171" s="201"/>
      <c r="F171" s="11"/>
      <c r="G171" s="11"/>
      <c r="H171" s="54"/>
    </row>
    <row r="172" spans="1:8" ht="21">
      <c r="A172" s="28"/>
      <c r="B172" s="28"/>
      <c r="D172" s="31"/>
      <c r="E172" s="68"/>
      <c r="F172" s="11"/>
      <c r="G172" s="11"/>
      <c r="H172" s="54"/>
    </row>
    <row r="173" spans="1:8" ht="18.75" thickBot="1">
      <c r="A173" s="28"/>
      <c r="B173" s="28"/>
      <c r="D173" s="4"/>
      <c r="E173" s="73"/>
      <c r="H173" s="28"/>
    </row>
    <row r="174" spans="1:8" ht="18" customHeight="1">
      <c r="A174" s="28"/>
      <c r="B174" s="28"/>
      <c r="D174" s="191" t="s">
        <v>103</v>
      </c>
      <c r="E174" s="192"/>
      <c r="F174" s="192"/>
      <c r="G174" s="193"/>
      <c r="H174" s="28"/>
    </row>
    <row r="175" spans="1:8">
      <c r="A175" s="28"/>
      <c r="B175" s="28"/>
      <c r="D175" s="194"/>
      <c r="E175" s="195"/>
      <c r="F175" s="195"/>
      <c r="G175" s="196"/>
      <c r="H175" s="28"/>
    </row>
    <row r="176" spans="1:8">
      <c r="A176" s="28"/>
      <c r="B176" s="28"/>
      <c r="D176" s="194"/>
      <c r="E176" s="195"/>
      <c r="F176" s="195"/>
      <c r="G176" s="196"/>
      <c r="H176" s="28"/>
    </row>
    <row r="177" spans="1:8">
      <c r="A177" s="28"/>
      <c r="B177" s="28"/>
      <c r="D177" s="194"/>
      <c r="E177" s="195"/>
      <c r="F177" s="195"/>
      <c r="G177" s="196"/>
      <c r="H177" s="28"/>
    </row>
    <row r="178" spans="1:8" ht="10.5" customHeight="1" thickBot="1">
      <c r="A178" s="28"/>
      <c r="B178" s="28"/>
      <c r="D178" s="197"/>
      <c r="E178" s="198"/>
      <c r="F178" s="198"/>
      <c r="G178" s="199"/>
      <c r="H178" s="28"/>
    </row>
    <row r="179" spans="1:8" ht="0.75" customHeight="1">
      <c r="A179" s="28"/>
      <c r="B179" s="28"/>
      <c r="D179" s="4"/>
      <c r="E179" s="73"/>
      <c r="H179" s="28"/>
    </row>
    <row r="180" spans="1:8">
      <c r="A180" s="28"/>
      <c r="B180" s="28"/>
      <c r="D180" s="4"/>
      <c r="E180" s="73"/>
      <c r="H180" s="28"/>
    </row>
    <row r="181" spans="1:8">
      <c r="A181" s="28"/>
      <c r="B181" s="28"/>
      <c r="D181" s="4"/>
      <c r="E181" s="73"/>
      <c r="H181" s="28"/>
    </row>
    <row r="182" spans="1:8">
      <c r="A182" s="28"/>
      <c r="B182" s="28"/>
      <c r="D182" s="4"/>
      <c r="E182" s="73"/>
      <c r="H182" s="28"/>
    </row>
  </sheetData>
  <sheetProtection algorithmName="SHA-512" hashValue="az0/lXRMsb+QoRA5b0AUf/7RiqFPnB3yqNS4rvToCFRKlvzm/Q7DfG1L2+sHPZOefcHG5Wx+RPrtHBjYcULI+w==" saltValue="xuXq8uijm2RxhcRScSSJzg==" spinCount="100000" sheet="1" selectLockedCells="1"/>
  <protectedRanges>
    <protectedRange sqref="E19:E21 G22 G27 D53 E160 E58:E59 E116:E123 G116:H123 E108:E112 G108:H112 E40:E45 E47:E53" name="User Input"/>
    <protectedRange sqref="I3" name="User Input_1"/>
  </protectedRanges>
  <mergeCells count="36">
    <mergeCell ref="Q103:AB103"/>
    <mergeCell ref="D102:G103"/>
    <mergeCell ref="G110:H110"/>
    <mergeCell ref="F42:F53"/>
    <mergeCell ref="E147:F147"/>
    <mergeCell ref="E145:F145"/>
    <mergeCell ref="D95:G97"/>
    <mergeCell ref="G109:H109"/>
    <mergeCell ref="G118:H118"/>
    <mergeCell ref="G117:H117"/>
    <mergeCell ref="G106:H106"/>
    <mergeCell ref="G112:H112"/>
    <mergeCell ref="D136:G141"/>
    <mergeCell ref="G44:I45"/>
    <mergeCell ref="G111:H111"/>
    <mergeCell ref="D174:G178"/>
    <mergeCell ref="D169:E169"/>
    <mergeCell ref="D171:E171"/>
    <mergeCell ref="G108:H108"/>
    <mergeCell ref="G113:H113"/>
    <mergeCell ref="G116:H116"/>
    <mergeCell ref="G123:H123"/>
    <mergeCell ref="G122:H122"/>
    <mergeCell ref="G121:H121"/>
    <mergeCell ref="G120:H120"/>
    <mergeCell ref="G119:H119"/>
    <mergeCell ref="D130:G134"/>
    <mergeCell ref="B2:G4"/>
    <mergeCell ref="C6:F6"/>
    <mergeCell ref="D32:G37"/>
    <mergeCell ref="E22:F22"/>
    <mergeCell ref="E23:F23"/>
    <mergeCell ref="E19:G19"/>
    <mergeCell ref="E20:G20"/>
    <mergeCell ref="E21:G21"/>
    <mergeCell ref="D10:G13"/>
  </mergeCells>
  <conditionalFormatting sqref="C157">
    <cfRule type="expression" dxfId="11" priority="4">
      <formula>$E$157=0</formula>
    </cfRule>
  </conditionalFormatting>
  <conditionalFormatting sqref="D73:E73">
    <cfRule type="expression" dxfId="10" priority="21">
      <formula>$G$23="Full Time"</formula>
    </cfRule>
  </conditionalFormatting>
  <conditionalFormatting sqref="D157:F157">
    <cfRule type="expression" dxfId="9" priority="3">
      <formula>$G$27&lt;1</formula>
    </cfRule>
  </conditionalFormatting>
  <conditionalFormatting sqref="E73 E63 E65 E67 E69 E71 E80 E85 E87 E92">
    <cfRule type="containsErrors" dxfId="8" priority="31">
      <formula>ISERROR(E63)</formula>
    </cfRule>
  </conditionalFormatting>
  <conditionalFormatting sqref="E153">
    <cfRule type="containsErrors" dxfId="7" priority="15">
      <formula>ISERROR(E153)</formula>
    </cfRule>
  </conditionalFormatting>
  <conditionalFormatting sqref="E155">
    <cfRule type="containsErrors" dxfId="6" priority="14">
      <formula>ISERROR(E155)</formula>
    </cfRule>
  </conditionalFormatting>
  <conditionalFormatting sqref="E160">
    <cfRule type="cellIs" dxfId="5" priority="28" operator="greaterThan">
      <formula>0</formula>
    </cfRule>
  </conditionalFormatting>
  <conditionalFormatting sqref="E161">
    <cfRule type="containsBlanks" dxfId="4" priority="1">
      <formula>LEN(TRIM(E161))=0</formula>
    </cfRule>
  </conditionalFormatting>
  <conditionalFormatting sqref="E22:F22">
    <cfRule type="cellIs" dxfId="3" priority="19" operator="notBetween">
      <formula>37.5</formula>
      <formula>1</formula>
    </cfRule>
  </conditionalFormatting>
  <conditionalFormatting sqref="E23:F23">
    <cfRule type="expression" dxfId="2" priority="16">
      <formula>$G$22&lt;1</formula>
    </cfRule>
    <cfRule type="expression" dxfId="1" priority="17">
      <formula>$G$22&gt;37.5</formula>
    </cfRule>
  </conditionalFormatting>
  <conditionalFormatting sqref="F54">
    <cfRule type="containsText" dxfId="0" priority="18" operator="containsText" text="Error">
      <formula>NOT(ISERROR(SEARCH("Error",F54)))</formula>
    </cfRule>
  </conditionalFormatting>
  <dataValidations count="2">
    <dataValidation type="whole" operator="lessThanOrEqual" allowBlank="1" showInputMessage="1" showErrorMessage="1" error="The Number of Family Units column must be equal to or less than the Number of Units column for that Program. " sqref="N48" xr:uid="{00000000-0002-0000-0000-000000000000}">
      <formula1>E40</formula1>
    </dataValidation>
    <dataValidation allowBlank="1" showInputMessage="1" showErrorMessage="1" prompt="Identify the source of the salary and a brief description of the service provided. " sqref="G116:H123" xr:uid="{00000000-0002-0000-0000-000001000000}"/>
  </dataValidations>
  <pageMargins left="0.25" right="0.25" top="0.75" bottom="0.75" header="0.3" footer="0.3"/>
  <pageSetup scale="43" fitToHeight="0" orientation="portrait" r:id="rId1"/>
  <rowBreaks count="2" manualBreakCount="2">
    <brk id="60" max="7" man="1"/>
    <brk id="126" max="7" man="1"/>
  </rowBreaks>
  <ignoredErrors>
    <ignoredError sqref="E65 E80 E153 E155"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1053" r:id="rId4" name="Check Box 29">
              <controlPr defaultSize="0" autoFill="0" autoLine="0" autoPict="0">
                <anchor moveWithCells="1">
                  <from>
                    <xdr:col>4</xdr:col>
                    <xdr:colOff>133350</xdr:colOff>
                    <xdr:row>163</xdr:row>
                    <xdr:rowOff>19050</xdr:rowOff>
                  </from>
                  <to>
                    <xdr:col>4</xdr:col>
                    <xdr:colOff>1000125</xdr:colOff>
                    <xdr:row>163</xdr:row>
                    <xdr:rowOff>219075</xdr:rowOff>
                  </to>
                </anchor>
              </controlPr>
            </control>
          </mc:Choice>
        </mc:AlternateContent>
        <mc:AlternateContent xmlns:mc="http://schemas.openxmlformats.org/markup-compatibility/2006">
          <mc:Choice Requires="x14">
            <control shapeId="1054" r:id="rId5" name="Check Box 30">
              <controlPr defaultSize="0" autoFill="0" autoLine="0" autoPict="0">
                <anchor moveWithCells="1">
                  <from>
                    <xdr:col>4</xdr:col>
                    <xdr:colOff>133350</xdr:colOff>
                    <xdr:row>164</xdr:row>
                    <xdr:rowOff>38100</xdr:rowOff>
                  </from>
                  <to>
                    <xdr:col>4</xdr:col>
                    <xdr:colOff>1000125</xdr:colOff>
                    <xdr:row>164</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errorStyle="information" showErrorMessage="1" error="Please select your LHA from the Dropdown List. " xr:uid="{00000000-0002-0000-0000-000002000000}">
          <x14:formula1>
            <xm:f>'LHA Lookup'!$A:$A</xm:f>
          </x14:formula1>
          <xm:sqref>E19:G19</xm:sqref>
        </x14:dataValidation>
        <x14:dataValidation type="list" allowBlank="1" showInputMessage="1" showErrorMessage="1" error="Please Choose the LHA from the Dropdown List" prompt="Identify which LHA is receiving management services._x000a_" xr:uid="{00000000-0002-0000-0000-000003000000}">
          <x14:formula1>
            <xm:f>'LHA Lookup'!$A:$A</xm:f>
          </x14:formula1>
          <xm:sqref>G108:H112</xm:sqref>
        </x14:dataValidation>
        <x14:dataValidation type="list" allowBlank="1" showInputMessage="1" showErrorMessage="1" xr:uid="{00000000-0002-0000-0000-000004000000}">
          <x14:formula1>
            <xm:f>'Salary Lookup'!$B$2:$B$3</xm:f>
          </x14:formula1>
          <xm:sqref>E59 E58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1"/>
  <dimension ref="A1:A237"/>
  <sheetViews>
    <sheetView workbookViewId="0"/>
  </sheetViews>
  <sheetFormatPr defaultRowHeight="18.75"/>
  <cols>
    <col min="1" max="1" width="35.7109375" style="2" bestFit="1" customWidth="1"/>
  </cols>
  <sheetData>
    <row r="1" spans="1:1">
      <c r="A1" s="2" t="s">
        <v>104</v>
      </c>
    </row>
    <row r="2" spans="1:1">
      <c r="A2" s="2" t="s">
        <v>105</v>
      </c>
    </row>
    <row r="3" spans="1:1">
      <c r="A3" s="2" t="s">
        <v>106</v>
      </c>
    </row>
    <row r="4" spans="1:1">
      <c r="A4" s="2" t="s">
        <v>107</v>
      </c>
    </row>
    <row r="5" spans="1:1">
      <c r="A5" s="2" t="s">
        <v>108</v>
      </c>
    </row>
    <row r="6" spans="1:1">
      <c r="A6" s="2" t="s">
        <v>109</v>
      </c>
    </row>
    <row r="7" spans="1:1">
      <c r="A7" s="2" t="s">
        <v>110</v>
      </c>
    </row>
    <row r="8" spans="1:1">
      <c r="A8" s="2" t="s">
        <v>111</v>
      </c>
    </row>
    <row r="9" spans="1:1">
      <c r="A9" s="2" t="s">
        <v>112</v>
      </c>
    </row>
    <row r="10" spans="1:1">
      <c r="A10" s="2" t="s">
        <v>113</v>
      </c>
    </row>
    <row r="11" spans="1:1">
      <c r="A11" s="2" t="s">
        <v>114</v>
      </c>
    </row>
    <row r="12" spans="1:1">
      <c r="A12" s="2" t="s">
        <v>115</v>
      </c>
    </row>
    <row r="13" spans="1:1">
      <c r="A13" s="2" t="s">
        <v>116</v>
      </c>
    </row>
    <row r="14" spans="1:1">
      <c r="A14" s="2" t="s">
        <v>117</v>
      </c>
    </row>
    <row r="15" spans="1:1">
      <c r="A15" s="2" t="s">
        <v>118</v>
      </c>
    </row>
    <row r="16" spans="1:1">
      <c r="A16" s="2" t="s">
        <v>119</v>
      </c>
    </row>
    <row r="17" spans="1:1">
      <c r="A17" s="2" t="s">
        <v>120</v>
      </c>
    </row>
    <row r="18" spans="1:1">
      <c r="A18" s="2" t="s">
        <v>121</v>
      </c>
    </row>
    <row r="19" spans="1:1">
      <c r="A19" s="2" t="s">
        <v>122</v>
      </c>
    </row>
    <row r="20" spans="1:1">
      <c r="A20" s="2" t="s">
        <v>123</v>
      </c>
    </row>
    <row r="21" spans="1:1">
      <c r="A21" s="2" t="s">
        <v>124</v>
      </c>
    </row>
    <row r="22" spans="1:1">
      <c r="A22" s="2" t="s">
        <v>125</v>
      </c>
    </row>
    <row r="23" spans="1:1">
      <c r="A23" s="2" t="s">
        <v>126</v>
      </c>
    </row>
    <row r="24" spans="1:1">
      <c r="A24" s="2" t="s">
        <v>127</v>
      </c>
    </row>
    <row r="25" spans="1:1">
      <c r="A25" s="2" t="s">
        <v>128</v>
      </c>
    </row>
    <row r="26" spans="1:1">
      <c r="A26" s="2" t="s">
        <v>129</v>
      </c>
    </row>
    <row r="27" spans="1:1">
      <c r="A27" s="2" t="s">
        <v>130</v>
      </c>
    </row>
    <row r="28" spans="1:1">
      <c r="A28" s="2" t="s">
        <v>131</v>
      </c>
    </row>
    <row r="29" spans="1:1">
      <c r="A29" s="2" t="s">
        <v>132</v>
      </c>
    </row>
    <row r="30" spans="1:1">
      <c r="A30" s="2" t="s">
        <v>133</v>
      </c>
    </row>
    <row r="31" spans="1:1">
      <c r="A31" s="2" t="s">
        <v>134</v>
      </c>
    </row>
    <row r="32" spans="1:1">
      <c r="A32" s="2" t="s">
        <v>135</v>
      </c>
    </row>
    <row r="33" spans="1:1">
      <c r="A33" s="2" t="s">
        <v>136</v>
      </c>
    </row>
    <row r="34" spans="1:1">
      <c r="A34" s="2" t="s">
        <v>137</v>
      </c>
    </row>
    <row r="35" spans="1:1">
      <c r="A35" s="2" t="s">
        <v>138</v>
      </c>
    </row>
    <row r="36" spans="1:1">
      <c r="A36" s="2" t="s">
        <v>139</v>
      </c>
    </row>
    <row r="37" spans="1:1">
      <c r="A37" s="2" t="s">
        <v>140</v>
      </c>
    </row>
    <row r="38" spans="1:1">
      <c r="A38" s="2" t="s">
        <v>141</v>
      </c>
    </row>
    <row r="39" spans="1:1">
      <c r="A39" s="2" t="s">
        <v>142</v>
      </c>
    </row>
    <row r="40" spans="1:1">
      <c r="A40" s="2" t="s">
        <v>143</v>
      </c>
    </row>
    <row r="41" spans="1:1">
      <c r="A41" s="2" t="s">
        <v>144</v>
      </c>
    </row>
    <row r="42" spans="1:1">
      <c r="A42" s="2" t="s">
        <v>145</v>
      </c>
    </row>
    <row r="43" spans="1:1">
      <c r="A43" s="2" t="s">
        <v>146</v>
      </c>
    </row>
    <row r="44" spans="1:1">
      <c r="A44" s="2" t="s">
        <v>147</v>
      </c>
    </row>
    <row r="45" spans="1:1">
      <c r="A45" s="2" t="s">
        <v>148</v>
      </c>
    </row>
    <row r="46" spans="1:1">
      <c r="A46" s="2" t="s">
        <v>149</v>
      </c>
    </row>
    <row r="47" spans="1:1">
      <c r="A47" s="2" t="s">
        <v>150</v>
      </c>
    </row>
    <row r="48" spans="1:1">
      <c r="A48" s="2" t="s">
        <v>151</v>
      </c>
    </row>
    <row r="49" spans="1:1">
      <c r="A49" s="2" t="s">
        <v>152</v>
      </c>
    </row>
    <row r="50" spans="1:1">
      <c r="A50" s="2" t="s">
        <v>153</v>
      </c>
    </row>
    <row r="51" spans="1:1">
      <c r="A51" s="2" t="s">
        <v>154</v>
      </c>
    </row>
    <row r="52" spans="1:1">
      <c r="A52" s="2" t="s">
        <v>155</v>
      </c>
    </row>
    <row r="53" spans="1:1">
      <c r="A53" s="2" t="s">
        <v>156</v>
      </c>
    </row>
    <row r="54" spans="1:1">
      <c r="A54" s="2" t="s">
        <v>157</v>
      </c>
    </row>
    <row r="55" spans="1:1">
      <c r="A55" s="2" t="s">
        <v>158</v>
      </c>
    </row>
    <row r="56" spans="1:1">
      <c r="A56" s="2" t="s">
        <v>159</v>
      </c>
    </row>
    <row r="57" spans="1:1">
      <c r="A57" s="2" t="s">
        <v>160</v>
      </c>
    </row>
    <row r="58" spans="1:1">
      <c r="A58" s="2" t="s">
        <v>161</v>
      </c>
    </row>
    <row r="59" spans="1:1">
      <c r="A59" s="2" t="s">
        <v>162</v>
      </c>
    </row>
    <row r="60" spans="1:1">
      <c r="A60" s="2" t="s">
        <v>163</v>
      </c>
    </row>
    <row r="61" spans="1:1">
      <c r="A61" s="2" t="s">
        <v>164</v>
      </c>
    </row>
    <row r="62" spans="1:1">
      <c r="A62" s="2" t="s">
        <v>165</v>
      </c>
    </row>
    <row r="63" spans="1:1">
      <c r="A63" s="2" t="s">
        <v>166</v>
      </c>
    </row>
    <row r="64" spans="1:1">
      <c r="A64" s="2" t="s">
        <v>167</v>
      </c>
    </row>
    <row r="65" spans="1:1">
      <c r="A65" s="2" t="s">
        <v>168</v>
      </c>
    </row>
    <row r="66" spans="1:1">
      <c r="A66" s="2" t="s">
        <v>169</v>
      </c>
    </row>
    <row r="67" spans="1:1">
      <c r="A67" s="2" t="s">
        <v>170</v>
      </c>
    </row>
    <row r="68" spans="1:1">
      <c r="A68" s="2" t="s">
        <v>171</v>
      </c>
    </row>
    <row r="69" spans="1:1">
      <c r="A69" s="2" t="s">
        <v>172</v>
      </c>
    </row>
    <row r="70" spans="1:1">
      <c r="A70" s="2" t="s">
        <v>173</v>
      </c>
    </row>
    <row r="71" spans="1:1">
      <c r="A71" s="2" t="s">
        <v>174</v>
      </c>
    </row>
    <row r="72" spans="1:1">
      <c r="A72" s="2" t="s">
        <v>175</v>
      </c>
    </row>
    <row r="73" spans="1:1">
      <c r="A73" s="2" t="s">
        <v>176</v>
      </c>
    </row>
    <row r="74" spans="1:1">
      <c r="A74" s="2" t="s">
        <v>177</v>
      </c>
    </row>
    <row r="75" spans="1:1">
      <c r="A75" s="2" t="s">
        <v>178</v>
      </c>
    </row>
    <row r="76" spans="1:1">
      <c r="A76" s="2" t="s">
        <v>179</v>
      </c>
    </row>
    <row r="77" spans="1:1">
      <c r="A77" s="2" t="s">
        <v>180</v>
      </c>
    </row>
    <row r="78" spans="1:1">
      <c r="A78" s="2" t="s">
        <v>181</v>
      </c>
    </row>
    <row r="79" spans="1:1">
      <c r="A79" s="2" t="s">
        <v>182</v>
      </c>
    </row>
    <row r="80" spans="1:1">
      <c r="A80" s="2" t="s">
        <v>183</v>
      </c>
    </row>
    <row r="81" spans="1:1">
      <c r="A81" s="2" t="s">
        <v>184</v>
      </c>
    </row>
    <row r="82" spans="1:1">
      <c r="A82" s="2" t="s">
        <v>185</v>
      </c>
    </row>
    <row r="83" spans="1:1">
      <c r="A83" s="2" t="s">
        <v>186</v>
      </c>
    </row>
    <row r="84" spans="1:1">
      <c r="A84" s="2" t="s">
        <v>187</v>
      </c>
    </row>
    <row r="85" spans="1:1">
      <c r="A85" s="2" t="s">
        <v>188</v>
      </c>
    </row>
    <row r="86" spans="1:1">
      <c r="A86" s="2" t="s">
        <v>189</v>
      </c>
    </row>
    <row r="87" spans="1:1">
      <c r="A87" s="2" t="s">
        <v>190</v>
      </c>
    </row>
    <row r="88" spans="1:1">
      <c r="A88" s="2" t="s">
        <v>191</v>
      </c>
    </row>
    <row r="89" spans="1:1">
      <c r="A89" s="2" t="s">
        <v>192</v>
      </c>
    </row>
    <row r="90" spans="1:1">
      <c r="A90" s="2" t="s">
        <v>193</v>
      </c>
    </row>
    <row r="91" spans="1:1">
      <c r="A91" s="2" t="s">
        <v>194</v>
      </c>
    </row>
    <row r="92" spans="1:1">
      <c r="A92" s="2" t="s">
        <v>195</v>
      </c>
    </row>
    <row r="93" spans="1:1">
      <c r="A93" s="2" t="s">
        <v>196</v>
      </c>
    </row>
    <row r="94" spans="1:1">
      <c r="A94" s="2" t="s">
        <v>197</v>
      </c>
    </row>
    <row r="95" spans="1:1">
      <c r="A95" s="2" t="s">
        <v>198</v>
      </c>
    </row>
    <row r="96" spans="1:1">
      <c r="A96" s="2" t="s">
        <v>199</v>
      </c>
    </row>
    <row r="97" spans="1:1">
      <c r="A97" s="2" t="s">
        <v>200</v>
      </c>
    </row>
    <row r="98" spans="1:1">
      <c r="A98" s="2" t="s">
        <v>201</v>
      </c>
    </row>
    <row r="99" spans="1:1">
      <c r="A99" s="2" t="s">
        <v>202</v>
      </c>
    </row>
    <row r="100" spans="1:1">
      <c r="A100" s="2" t="s">
        <v>203</v>
      </c>
    </row>
    <row r="101" spans="1:1">
      <c r="A101" s="2" t="s">
        <v>204</v>
      </c>
    </row>
    <row r="102" spans="1:1">
      <c r="A102" s="2" t="s">
        <v>205</v>
      </c>
    </row>
    <row r="103" spans="1:1">
      <c r="A103" s="2" t="s">
        <v>206</v>
      </c>
    </row>
    <row r="104" spans="1:1">
      <c r="A104" s="2" t="s">
        <v>207</v>
      </c>
    </row>
    <row r="105" spans="1:1">
      <c r="A105" s="2" t="s">
        <v>208</v>
      </c>
    </row>
    <row r="106" spans="1:1">
      <c r="A106" s="2" t="s">
        <v>209</v>
      </c>
    </row>
    <row r="107" spans="1:1">
      <c r="A107" s="2" t="s">
        <v>210</v>
      </c>
    </row>
    <row r="108" spans="1:1">
      <c r="A108" s="2" t="s">
        <v>211</v>
      </c>
    </row>
    <row r="109" spans="1:1">
      <c r="A109" s="2" t="s">
        <v>212</v>
      </c>
    </row>
    <row r="110" spans="1:1">
      <c r="A110" s="2" t="s">
        <v>213</v>
      </c>
    </row>
    <row r="111" spans="1:1">
      <c r="A111" s="2" t="s">
        <v>214</v>
      </c>
    </row>
    <row r="112" spans="1:1">
      <c r="A112" s="2" t="s">
        <v>215</v>
      </c>
    </row>
    <row r="113" spans="1:1">
      <c r="A113" s="2" t="s">
        <v>216</v>
      </c>
    </row>
    <row r="114" spans="1:1">
      <c r="A114" s="2" t="s">
        <v>217</v>
      </c>
    </row>
    <row r="115" spans="1:1">
      <c r="A115" s="2" t="s">
        <v>218</v>
      </c>
    </row>
    <row r="116" spans="1:1">
      <c r="A116" s="2" t="s">
        <v>219</v>
      </c>
    </row>
    <row r="117" spans="1:1">
      <c r="A117" s="2" t="s">
        <v>220</v>
      </c>
    </row>
    <row r="118" spans="1:1">
      <c r="A118" s="2" t="s">
        <v>221</v>
      </c>
    </row>
    <row r="119" spans="1:1">
      <c r="A119" s="2" t="s">
        <v>222</v>
      </c>
    </row>
    <row r="120" spans="1:1">
      <c r="A120" s="2" t="s">
        <v>223</v>
      </c>
    </row>
    <row r="121" spans="1:1">
      <c r="A121" s="2" t="s">
        <v>224</v>
      </c>
    </row>
    <row r="122" spans="1:1">
      <c r="A122" s="2" t="s">
        <v>225</v>
      </c>
    </row>
    <row r="123" spans="1:1">
      <c r="A123" s="2" t="s">
        <v>226</v>
      </c>
    </row>
    <row r="124" spans="1:1">
      <c r="A124" s="2" t="s">
        <v>227</v>
      </c>
    </row>
    <row r="125" spans="1:1">
      <c r="A125" s="2" t="s">
        <v>228</v>
      </c>
    </row>
    <row r="126" spans="1:1">
      <c r="A126" s="2" t="s">
        <v>229</v>
      </c>
    </row>
    <row r="127" spans="1:1">
      <c r="A127" s="2" t="s">
        <v>230</v>
      </c>
    </row>
    <row r="128" spans="1:1">
      <c r="A128" s="2" t="s">
        <v>231</v>
      </c>
    </row>
    <row r="129" spans="1:1">
      <c r="A129" s="2" t="s">
        <v>232</v>
      </c>
    </row>
    <row r="130" spans="1:1">
      <c r="A130" s="2" t="s">
        <v>233</v>
      </c>
    </row>
    <row r="131" spans="1:1">
      <c r="A131" s="2" t="s">
        <v>234</v>
      </c>
    </row>
    <row r="132" spans="1:1">
      <c r="A132" s="2" t="s">
        <v>235</v>
      </c>
    </row>
    <row r="133" spans="1:1">
      <c r="A133" s="2" t="s">
        <v>236</v>
      </c>
    </row>
    <row r="134" spans="1:1">
      <c r="A134" s="2" t="s">
        <v>237</v>
      </c>
    </row>
    <row r="135" spans="1:1">
      <c r="A135" s="2" t="s">
        <v>238</v>
      </c>
    </row>
    <row r="136" spans="1:1">
      <c r="A136" s="2" t="s">
        <v>239</v>
      </c>
    </row>
    <row r="137" spans="1:1">
      <c r="A137" s="2" t="s">
        <v>240</v>
      </c>
    </row>
    <row r="138" spans="1:1">
      <c r="A138" s="2" t="s">
        <v>241</v>
      </c>
    </row>
    <row r="139" spans="1:1">
      <c r="A139" s="2" t="s">
        <v>242</v>
      </c>
    </row>
    <row r="140" spans="1:1">
      <c r="A140" s="2" t="s">
        <v>243</v>
      </c>
    </row>
    <row r="141" spans="1:1">
      <c r="A141" s="2" t="s">
        <v>244</v>
      </c>
    </row>
    <row r="142" spans="1:1">
      <c r="A142" s="2" t="s">
        <v>245</v>
      </c>
    </row>
    <row r="143" spans="1:1">
      <c r="A143" s="2" t="s">
        <v>246</v>
      </c>
    </row>
    <row r="144" spans="1:1">
      <c r="A144" s="2" t="s">
        <v>247</v>
      </c>
    </row>
    <row r="145" spans="1:1">
      <c r="A145" s="2" t="s">
        <v>248</v>
      </c>
    </row>
    <row r="146" spans="1:1">
      <c r="A146" s="2" t="s">
        <v>249</v>
      </c>
    </row>
    <row r="147" spans="1:1">
      <c r="A147" s="2" t="s">
        <v>250</v>
      </c>
    </row>
    <row r="148" spans="1:1">
      <c r="A148" s="2" t="s">
        <v>251</v>
      </c>
    </row>
    <row r="149" spans="1:1">
      <c r="A149" s="2" t="s">
        <v>252</v>
      </c>
    </row>
    <row r="150" spans="1:1">
      <c r="A150" s="2" t="s">
        <v>253</v>
      </c>
    </row>
    <row r="151" spans="1:1">
      <c r="A151" s="2" t="s">
        <v>254</v>
      </c>
    </row>
    <row r="152" spans="1:1">
      <c r="A152" s="2" t="s">
        <v>255</v>
      </c>
    </row>
    <row r="153" spans="1:1">
      <c r="A153" s="2" t="s">
        <v>256</v>
      </c>
    </row>
    <row r="154" spans="1:1">
      <c r="A154" s="2" t="s">
        <v>257</v>
      </c>
    </row>
    <row r="155" spans="1:1">
      <c r="A155" s="2" t="s">
        <v>258</v>
      </c>
    </row>
    <row r="156" spans="1:1">
      <c r="A156" s="2" t="s">
        <v>259</v>
      </c>
    </row>
    <row r="157" spans="1:1">
      <c r="A157" s="2" t="s">
        <v>260</v>
      </c>
    </row>
    <row r="158" spans="1:1">
      <c r="A158" s="2" t="s">
        <v>261</v>
      </c>
    </row>
    <row r="159" spans="1:1">
      <c r="A159" s="2" t="s">
        <v>262</v>
      </c>
    </row>
    <row r="160" spans="1:1">
      <c r="A160" s="2" t="s">
        <v>263</v>
      </c>
    </row>
    <row r="161" spans="1:1">
      <c r="A161" s="2" t="s">
        <v>264</v>
      </c>
    </row>
    <row r="162" spans="1:1">
      <c r="A162" s="2" t="s">
        <v>265</v>
      </c>
    </row>
    <row r="163" spans="1:1">
      <c r="A163" s="2" t="s">
        <v>266</v>
      </c>
    </row>
    <row r="164" spans="1:1">
      <c r="A164" s="2" t="s">
        <v>267</v>
      </c>
    </row>
    <row r="165" spans="1:1">
      <c r="A165" s="2" t="s">
        <v>268</v>
      </c>
    </row>
    <row r="166" spans="1:1">
      <c r="A166" s="2" t="s">
        <v>269</v>
      </c>
    </row>
    <row r="167" spans="1:1">
      <c r="A167" s="2" t="s">
        <v>270</v>
      </c>
    </row>
    <row r="168" spans="1:1">
      <c r="A168" s="2" t="s">
        <v>271</v>
      </c>
    </row>
    <row r="169" spans="1:1">
      <c r="A169" s="2" t="s">
        <v>272</v>
      </c>
    </row>
    <row r="170" spans="1:1">
      <c r="A170" s="2" t="s">
        <v>273</v>
      </c>
    </row>
    <row r="171" spans="1:1">
      <c r="A171" s="2" t="s">
        <v>274</v>
      </c>
    </row>
    <row r="172" spans="1:1">
      <c r="A172" s="2" t="s">
        <v>275</v>
      </c>
    </row>
    <row r="173" spans="1:1">
      <c r="A173" s="2" t="s">
        <v>276</v>
      </c>
    </row>
    <row r="174" spans="1:1">
      <c r="A174" s="2" t="s">
        <v>277</v>
      </c>
    </row>
    <row r="175" spans="1:1">
      <c r="A175" s="2" t="s">
        <v>278</v>
      </c>
    </row>
    <row r="176" spans="1:1">
      <c r="A176" s="2" t="s">
        <v>279</v>
      </c>
    </row>
    <row r="177" spans="1:1">
      <c r="A177" s="2" t="s">
        <v>280</v>
      </c>
    </row>
    <row r="178" spans="1:1">
      <c r="A178" s="2" t="s">
        <v>281</v>
      </c>
    </row>
    <row r="179" spans="1:1">
      <c r="A179" s="2" t="s">
        <v>282</v>
      </c>
    </row>
    <row r="180" spans="1:1">
      <c r="A180" s="2" t="s">
        <v>283</v>
      </c>
    </row>
    <row r="181" spans="1:1">
      <c r="A181" s="2" t="s">
        <v>284</v>
      </c>
    </row>
    <row r="182" spans="1:1">
      <c r="A182" s="2" t="s">
        <v>285</v>
      </c>
    </row>
    <row r="183" spans="1:1">
      <c r="A183" s="2" t="s">
        <v>286</v>
      </c>
    </row>
    <row r="184" spans="1:1">
      <c r="A184" s="2" t="s">
        <v>287</v>
      </c>
    </row>
    <row r="185" spans="1:1">
      <c r="A185" s="2" t="s">
        <v>288</v>
      </c>
    </row>
    <row r="186" spans="1:1">
      <c r="A186" s="2" t="s">
        <v>289</v>
      </c>
    </row>
    <row r="187" spans="1:1">
      <c r="A187" s="2" t="s">
        <v>290</v>
      </c>
    </row>
    <row r="188" spans="1:1">
      <c r="A188" s="2" t="s">
        <v>291</v>
      </c>
    </row>
    <row r="189" spans="1:1">
      <c r="A189" s="2" t="s">
        <v>292</v>
      </c>
    </row>
    <row r="190" spans="1:1">
      <c r="A190" s="2" t="s">
        <v>293</v>
      </c>
    </row>
    <row r="191" spans="1:1">
      <c r="A191" s="2" t="s">
        <v>294</v>
      </c>
    </row>
    <row r="192" spans="1:1">
      <c r="A192" s="2" t="s">
        <v>295</v>
      </c>
    </row>
    <row r="193" spans="1:1">
      <c r="A193" s="2" t="s">
        <v>296</v>
      </c>
    </row>
    <row r="194" spans="1:1">
      <c r="A194" s="2" t="s">
        <v>297</v>
      </c>
    </row>
    <row r="195" spans="1:1">
      <c r="A195" s="2" t="s">
        <v>298</v>
      </c>
    </row>
    <row r="196" spans="1:1">
      <c r="A196" s="2" t="s">
        <v>299</v>
      </c>
    </row>
    <row r="197" spans="1:1">
      <c r="A197" s="2" t="s">
        <v>300</v>
      </c>
    </row>
    <row r="198" spans="1:1">
      <c r="A198" s="2" t="s">
        <v>301</v>
      </c>
    </row>
    <row r="199" spans="1:1">
      <c r="A199" s="2" t="s">
        <v>302</v>
      </c>
    </row>
    <row r="200" spans="1:1">
      <c r="A200" s="2" t="s">
        <v>303</v>
      </c>
    </row>
    <row r="201" spans="1:1">
      <c r="A201" s="2" t="s">
        <v>304</v>
      </c>
    </row>
    <row r="202" spans="1:1">
      <c r="A202" s="2" t="s">
        <v>305</v>
      </c>
    </row>
    <row r="203" spans="1:1">
      <c r="A203" s="2" t="s">
        <v>306</v>
      </c>
    </row>
    <row r="204" spans="1:1">
      <c r="A204" s="2" t="s">
        <v>307</v>
      </c>
    </row>
    <row r="205" spans="1:1">
      <c r="A205" s="2" t="s">
        <v>308</v>
      </c>
    </row>
    <row r="206" spans="1:1">
      <c r="A206" s="2" t="s">
        <v>309</v>
      </c>
    </row>
    <row r="207" spans="1:1">
      <c r="A207" s="2" t="s">
        <v>310</v>
      </c>
    </row>
    <row r="208" spans="1:1">
      <c r="A208" s="2" t="s">
        <v>311</v>
      </c>
    </row>
    <row r="209" spans="1:1">
      <c r="A209" s="2" t="s">
        <v>312</v>
      </c>
    </row>
    <row r="210" spans="1:1">
      <c r="A210" s="2" t="s">
        <v>313</v>
      </c>
    </row>
    <row r="211" spans="1:1">
      <c r="A211" s="2" t="s">
        <v>314</v>
      </c>
    </row>
    <row r="212" spans="1:1">
      <c r="A212" s="2" t="s">
        <v>315</v>
      </c>
    </row>
    <row r="213" spans="1:1">
      <c r="A213" s="2" t="s">
        <v>316</v>
      </c>
    </row>
    <row r="214" spans="1:1">
      <c r="A214" s="2" t="s">
        <v>317</v>
      </c>
    </row>
    <row r="215" spans="1:1">
      <c r="A215" s="2" t="s">
        <v>318</v>
      </c>
    </row>
    <row r="216" spans="1:1">
      <c r="A216" s="2" t="s">
        <v>319</v>
      </c>
    </row>
    <row r="217" spans="1:1">
      <c r="A217" s="2" t="s">
        <v>320</v>
      </c>
    </row>
    <row r="218" spans="1:1">
      <c r="A218" s="2" t="s">
        <v>321</v>
      </c>
    </row>
    <row r="219" spans="1:1">
      <c r="A219" s="2" t="s">
        <v>322</v>
      </c>
    </row>
    <row r="220" spans="1:1">
      <c r="A220" s="2" t="s">
        <v>323</v>
      </c>
    </row>
    <row r="221" spans="1:1">
      <c r="A221" s="2" t="s">
        <v>324</v>
      </c>
    </row>
    <row r="222" spans="1:1">
      <c r="A222" s="2" t="s">
        <v>325</v>
      </c>
    </row>
    <row r="223" spans="1:1">
      <c r="A223" s="2" t="s">
        <v>326</v>
      </c>
    </row>
    <row r="224" spans="1:1">
      <c r="A224" s="2" t="s">
        <v>327</v>
      </c>
    </row>
    <row r="225" spans="1:1">
      <c r="A225" s="2" t="s">
        <v>328</v>
      </c>
    </row>
    <row r="226" spans="1:1">
      <c r="A226" s="2" t="s">
        <v>329</v>
      </c>
    </row>
    <row r="227" spans="1:1">
      <c r="A227" s="2" t="s">
        <v>330</v>
      </c>
    </row>
    <row r="228" spans="1:1">
      <c r="A228" s="2" t="s">
        <v>331</v>
      </c>
    </row>
    <row r="229" spans="1:1">
      <c r="A229" s="2" t="s">
        <v>332</v>
      </c>
    </row>
    <row r="230" spans="1:1">
      <c r="A230" s="2" t="s">
        <v>333</v>
      </c>
    </row>
    <row r="231" spans="1:1">
      <c r="A231" s="2" t="s">
        <v>334</v>
      </c>
    </row>
    <row r="232" spans="1:1">
      <c r="A232" s="2" t="s">
        <v>335</v>
      </c>
    </row>
    <row r="233" spans="1:1">
      <c r="A233" s="2" t="s">
        <v>336</v>
      </c>
    </row>
    <row r="234" spans="1:1">
      <c r="A234" s="2" t="s">
        <v>337</v>
      </c>
    </row>
    <row r="235" spans="1:1">
      <c r="A235" s="2" t="s">
        <v>338</v>
      </c>
    </row>
    <row r="236" spans="1:1">
      <c r="A236" s="2" t="s">
        <v>339</v>
      </c>
    </row>
    <row r="237" spans="1:1">
      <c r="A237" s="2" t="s">
        <v>340</v>
      </c>
    </row>
  </sheetData>
  <sheetProtection selectLockedCells="1" selectUn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2:AA48"/>
  <sheetViews>
    <sheetView zoomScaleNormal="100" workbookViewId="0">
      <selection activeCell="B2" sqref="B2:B3"/>
    </sheetView>
  </sheetViews>
  <sheetFormatPr defaultColWidth="9.140625" defaultRowHeight="15" customHeight="1"/>
  <cols>
    <col min="3" max="3" width="14.42578125" customWidth="1"/>
    <col min="4" max="4" width="12.5703125" customWidth="1"/>
    <col min="5" max="5" width="13.140625" customWidth="1"/>
    <col min="6" max="6" width="12.85546875" customWidth="1"/>
    <col min="7" max="7" width="15.140625" customWidth="1"/>
    <col min="8" max="8" width="11.7109375" bestFit="1" customWidth="1"/>
    <col min="9" max="9" width="17.5703125" customWidth="1"/>
    <col min="10" max="10" width="15" customWidth="1"/>
    <col min="11" max="11" width="22.28515625" customWidth="1"/>
    <col min="12" max="12" width="21.28515625" customWidth="1"/>
    <col min="13" max="13" width="11.140625" customWidth="1"/>
    <col min="15" max="15" width="14.85546875" customWidth="1"/>
    <col min="17" max="17" width="17.140625" customWidth="1"/>
    <col min="18" max="18" width="18" customWidth="1"/>
    <col min="19" max="19" width="11.5703125" customWidth="1"/>
    <col min="21" max="22" width="16" bestFit="1" customWidth="1"/>
    <col min="23" max="23" width="18.42578125" customWidth="1"/>
    <col min="24" max="24" width="22" customWidth="1"/>
    <col min="25" max="26" width="12.5703125" customWidth="1"/>
    <col min="27" max="27" width="11.5703125" bestFit="1" customWidth="1"/>
    <col min="28" max="28" width="16" bestFit="1" customWidth="1"/>
    <col min="29" max="29" width="11" customWidth="1"/>
  </cols>
  <sheetData>
    <row r="2" spans="2:8" ht="15" customHeight="1">
      <c r="B2" t="s">
        <v>372</v>
      </c>
    </row>
    <row r="3" spans="2:8">
      <c r="B3" t="s">
        <v>373</v>
      </c>
      <c r="C3" s="225" t="s">
        <v>1</v>
      </c>
      <c r="D3" s="225"/>
      <c r="E3" s="225"/>
      <c r="F3" s="225"/>
      <c r="G3" s="225"/>
    </row>
    <row r="4" spans="2:8">
      <c r="C4" s="98" t="s">
        <v>341</v>
      </c>
      <c r="D4" s="99"/>
      <c r="E4" s="231"/>
      <c r="F4" s="231"/>
      <c r="G4" s="99"/>
    </row>
    <row r="5" spans="2:8" ht="36" customHeight="1">
      <c r="C5" s="100"/>
      <c r="D5" s="100"/>
      <c r="E5" s="226" t="s">
        <v>342</v>
      </c>
      <c r="F5" s="227"/>
      <c r="G5" s="99"/>
    </row>
    <row r="6" spans="2:8" ht="48" customHeight="1">
      <c r="C6" s="100" t="s">
        <v>38</v>
      </c>
      <c r="D6" s="100" t="s">
        <v>343</v>
      </c>
      <c r="E6" s="132" t="s">
        <v>344</v>
      </c>
      <c r="F6" s="100" t="s">
        <v>345</v>
      </c>
      <c r="G6" s="132" t="s">
        <v>47</v>
      </c>
      <c r="H6" s="101"/>
    </row>
    <row r="7" spans="2:8" ht="15.75" customHeight="1">
      <c r="C7" s="102" t="s">
        <v>346</v>
      </c>
      <c r="D7" s="1">
        <v>1</v>
      </c>
      <c r="E7" s="103">
        <f>SUM('FORMULA INCREASE'!J7)</f>
        <v>58356.368928000004</v>
      </c>
      <c r="F7" s="103">
        <f>SUM('FORMULA INCREASE'!K7)</f>
        <v>80969.13</v>
      </c>
      <c r="G7" s="145">
        <f>SUM('FORMULA INCREASE'!L7)</f>
        <v>887.75845714285697</v>
      </c>
      <c r="H7" s="88"/>
    </row>
    <row r="8" spans="2:8" ht="15.75" customHeight="1">
      <c r="C8" s="105" t="s">
        <v>347</v>
      </c>
      <c r="D8" s="1">
        <v>30</v>
      </c>
      <c r="E8" s="103">
        <f>SUM('FORMULA INCREASE'!J8)</f>
        <v>84210.059232000014</v>
      </c>
      <c r="F8" s="103">
        <f>SUM('FORMULA INCREASE'!K8)</f>
        <v>87799.106304000001</v>
      </c>
      <c r="G8" s="145">
        <f>SUM('FORMULA INCREASE'!L8)</f>
        <v>123.76024386206885</v>
      </c>
      <c r="H8" s="88"/>
    </row>
    <row r="9" spans="2:8" ht="15.75" customHeight="1">
      <c r="C9" s="105" t="s">
        <v>348</v>
      </c>
      <c r="D9" s="1">
        <v>60</v>
      </c>
      <c r="E9" s="103">
        <f>SUM('FORMULA INCREASE'!J9)</f>
        <v>87800.188320000001</v>
      </c>
      <c r="F9" s="103">
        <f>SUM('FORMULA INCREASE'!K9)</f>
        <v>96505.007040000011</v>
      </c>
      <c r="G9" s="145">
        <f>SUM('FORMULA INCREASE'!L9)</f>
        <v>79.860722201834946</v>
      </c>
      <c r="H9" s="88"/>
    </row>
    <row r="10" spans="2:8" ht="15.75" customHeight="1">
      <c r="C10" s="105" t="s">
        <v>349</v>
      </c>
      <c r="D10" s="1">
        <v>170</v>
      </c>
      <c r="E10" s="103">
        <f>SUM('FORMULA INCREASE'!J10)</f>
        <v>96506.089056000012</v>
      </c>
      <c r="F10" s="103">
        <f>SUM('FORMULA INCREASE'!K10)</f>
        <v>106073.27452800001</v>
      </c>
      <c r="G10" s="145">
        <f>SUM('FORMULA INCREASE'!L10)</f>
        <v>41.778102497816576</v>
      </c>
      <c r="H10" s="88"/>
    </row>
    <row r="11" spans="2:8" ht="15.75" customHeight="1">
      <c r="C11" s="105" t="s">
        <v>350</v>
      </c>
      <c r="D11" s="1">
        <v>400</v>
      </c>
      <c r="E11" s="103">
        <f>SUM('FORMULA INCREASE'!J11)</f>
        <v>106074.35654400001</v>
      </c>
      <c r="F11" s="103">
        <f>SUM('FORMULA INCREASE'!K11)</f>
        <v>122239.675584</v>
      </c>
      <c r="G11" s="145">
        <f>SUM('FORMULA INCREASE'!L11)</f>
        <v>54.064612173913005</v>
      </c>
      <c r="H11" s="88"/>
    </row>
    <row r="12" spans="2:8" ht="15.75" customHeight="1">
      <c r="C12" s="105" t="s">
        <v>351</v>
      </c>
      <c r="D12" s="1">
        <v>700</v>
      </c>
      <c r="E12" s="103">
        <f>SUM('FORMULA INCREASE'!J12)</f>
        <v>122240.75760000001</v>
      </c>
      <c r="F12" s="103">
        <f>SUM('FORMULA INCREASE'!K12)</f>
        <v>142814.20982399999</v>
      </c>
      <c r="G12" s="145">
        <f>SUM('FORMULA INCREASE'!L12)</f>
        <v>68.807532521739134</v>
      </c>
      <c r="H12" s="88"/>
    </row>
    <row r="13" spans="2:8" ht="15.75" customHeight="1">
      <c r="C13" s="105" t="s">
        <v>352</v>
      </c>
      <c r="D13" s="1">
        <v>1000</v>
      </c>
      <c r="E13" s="103">
        <f>SUM('FORMULA INCREASE'!J13)</f>
        <v>142815.29183999999</v>
      </c>
      <c r="F13" s="103">
        <f>SUM('FORMULA INCREASE'!K13)</f>
        <v>154464.27609599999</v>
      </c>
      <c r="G13" s="145">
        <f>SUM('FORMULA INCREASE'!L13)</f>
        <v>23.344657827655329</v>
      </c>
      <c r="H13" s="88"/>
    </row>
    <row r="14" spans="2:8" ht="15.75" customHeight="1">
      <c r="C14" s="105" t="s">
        <v>353</v>
      </c>
      <c r="D14" s="1">
        <v>1500</v>
      </c>
      <c r="E14" s="103">
        <f>SUM('FORMULA INCREASE'!J14)</f>
        <v>154465.35811200005</v>
      </c>
      <c r="F14" s="103">
        <f>SUM('FORMULA INCREASE'!K14)</f>
        <v>168568.35465600001</v>
      </c>
      <c r="G14" s="145">
        <f>SUM('FORMULA INCREASE'!L14)</f>
        <v>28.26251812424848</v>
      </c>
      <c r="H14" s="88"/>
    </row>
    <row r="15" spans="2:8" ht="15.75" customHeight="1">
      <c r="C15" s="105" t="s">
        <v>354</v>
      </c>
      <c r="D15" s="1">
        <v>2000</v>
      </c>
      <c r="E15" s="103">
        <f>SUM('FORMULA INCREASE'!J15)</f>
        <v>168569.43667199998</v>
      </c>
      <c r="F15" s="103">
        <f>SUM('FORMULA INCREASE'!K15)</f>
        <v>184525.92662399999</v>
      </c>
      <c r="G15" s="145">
        <f>SUM('FORMULA INCREASE'!L15)</f>
        <v>15.972462414414416</v>
      </c>
      <c r="H15" s="88"/>
    </row>
    <row r="16" spans="2:8" ht="15.75" customHeight="1">
      <c r="C16" s="105" t="s">
        <v>355</v>
      </c>
      <c r="D16" s="1">
        <v>3000</v>
      </c>
      <c r="E16" s="103">
        <f>SUM('FORMULA INCREASE'!J16)</f>
        <v>184527.00864000001</v>
      </c>
      <c r="F16" s="103">
        <f>SUM('FORMULA INCREASE'!K16)</f>
        <v>201719.160864</v>
      </c>
      <c r="G16" s="145">
        <f>SUM('FORMULA INCREASE'!L16)</f>
        <v>8.6003763001500744</v>
      </c>
      <c r="H16" s="88"/>
    </row>
    <row r="17" spans="3:8" ht="15.75" customHeight="1">
      <c r="C17" s="105" t="s">
        <v>356</v>
      </c>
      <c r="D17" s="1">
        <v>5000</v>
      </c>
      <c r="E17" s="103">
        <f>SUM('FORMULA INCREASE'!J17)</f>
        <v>201721.32489600001</v>
      </c>
      <c r="F17" s="103">
        <f>SUM('FORMULA INCREASE'!K17)</f>
        <v>214726.07520000002</v>
      </c>
      <c r="G17" s="145">
        <f>SUM('FORMULA INCREASE'!L17)</f>
        <v>4.3363622220740261</v>
      </c>
      <c r="H17" s="88"/>
    </row>
    <row r="18" spans="3:8" ht="15.75" customHeight="1">
      <c r="C18" s="228" t="s">
        <v>357</v>
      </c>
      <c r="D18" s="229"/>
      <c r="E18" s="230"/>
      <c r="F18" s="106">
        <f>F17</f>
        <v>214726.07520000002</v>
      </c>
      <c r="G18" s="99"/>
    </row>
    <row r="19" spans="3:8" ht="15" customHeight="1">
      <c r="C19" s="99"/>
      <c r="D19" s="99"/>
      <c r="E19" s="99"/>
      <c r="F19" s="99"/>
      <c r="G19" s="99"/>
    </row>
    <row r="20" spans="3:8" ht="15.75" customHeight="1" thickBot="1">
      <c r="C20" s="99"/>
      <c r="D20" s="99"/>
      <c r="E20" s="99"/>
      <c r="F20" s="99"/>
      <c r="G20" s="99"/>
    </row>
    <row r="21" spans="3:8" ht="29.25" customHeight="1" thickBot="1">
      <c r="C21" s="223" t="s">
        <v>358</v>
      </c>
      <c r="D21" s="224"/>
      <c r="E21" s="99"/>
      <c r="F21" s="221" t="s">
        <v>359</v>
      </c>
      <c r="G21" s="222"/>
    </row>
    <row r="22" spans="3:8" ht="65.25" customHeight="1">
      <c r="C22" s="107" t="s">
        <v>360</v>
      </c>
      <c r="D22" s="141" t="s">
        <v>361</v>
      </c>
      <c r="E22" s="99"/>
      <c r="F22" s="108" t="s">
        <v>362</v>
      </c>
      <c r="G22" s="108" t="s">
        <v>363</v>
      </c>
    </row>
    <row r="23" spans="3:8" ht="15.75">
      <c r="C23" s="110">
        <v>1</v>
      </c>
      <c r="D23" s="103">
        <v>0</v>
      </c>
      <c r="E23" s="99"/>
      <c r="F23" s="111" t="s">
        <v>364</v>
      </c>
      <c r="G23" s="112">
        <v>1500</v>
      </c>
    </row>
    <row r="24" spans="3:8" ht="15.75">
      <c r="C24" s="110">
        <v>2</v>
      </c>
      <c r="D24" s="103">
        <v>1500</v>
      </c>
      <c r="E24" s="99"/>
      <c r="F24" s="114" t="s">
        <v>365</v>
      </c>
      <c r="G24" s="112">
        <v>2500</v>
      </c>
    </row>
    <row r="25" spans="3:8" ht="15.75">
      <c r="C25" s="110">
        <v>3</v>
      </c>
      <c r="D25" s="103">
        <v>2500</v>
      </c>
      <c r="E25" s="99"/>
      <c r="F25" s="114" t="s">
        <v>366</v>
      </c>
      <c r="G25" s="112">
        <v>3500</v>
      </c>
    </row>
    <row r="26" spans="3:8" ht="15.75">
      <c r="C26" s="110">
        <v>4</v>
      </c>
      <c r="D26" s="103">
        <v>3500</v>
      </c>
      <c r="E26" s="99"/>
      <c r="F26" s="114" t="s">
        <v>367</v>
      </c>
      <c r="G26" s="112">
        <v>4500</v>
      </c>
    </row>
    <row r="27" spans="3:8" ht="15.75">
      <c r="C27" s="110">
        <v>5</v>
      </c>
      <c r="D27" s="103">
        <v>5500</v>
      </c>
      <c r="E27" s="99"/>
      <c r="F27" s="110" t="s">
        <v>350</v>
      </c>
      <c r="G27" s="112">
        <v>5500</v>
      </c>
    </row>
    <row r="28" spans="3:8" ht="15.75">
      <c r="C28" s="110">
        <v>6</v>
      </c>
      <c r="D28" s="103">
        <v>7500</v>
      </c>
      <c r="E28" s="99"/>
      <c r="F28" s="110" t="s">
        <v>368</v>
      </c>
      <c r="G28" s="112">
        <v>6500</v>
      </c>
    </row>
    <row r="29" spans="3:8" ht="15.75">
      <c r="C29" s="110">
        <v>7</v>
      </c>
      <c r="D29" s="103">
        <v>10000</v>
      </c>
      <c r="E29" s="99"/>
      <c r="F29" s="115" t="s">
        <v>369</v>
      </c>
      <c r="G29" s="115" t="s">
        <v>369</v>
      </c>
    </row>
    <row r="30" spans="3:8" ht="15.75">
      <c r="C30" s="110">
        <v>8</v>
      </c>
      <c r="D30" s="103">
        <v>12500</v>
      </c>
      <c r="E30" s="99"/>
      <c r="F30" s="99"/>
      <c r="G30" s="99"/>
    </row>
    <row r="31" spans="3:8" ht="15.75">
      <c r="C31" s="110">
        <v>9</v>
      </c>
      <c r="D31" s="103">
        <v>14500</v>
      </c>
      <c r="E31" s="99"/>
      <c r="F31" s="99"/>
      <c r="G31" s="99"/>
    </row>
    <row r="32" spans="3:8" ht="15.75">
      <c r="C32" s="110">
        <v>10</v>
      </c>
      <c r="D32" s="103">
        <v>16500</v>
      </c>
      <c r="E32" s="99"/>
      <c r="F32" s="99"/>
      <c r="G32" s="99"/>
    </row>
    <row r="33" spans="3:27">
      <c r="C33" s="99"/>
      <c r="D33" s="99"/>
      <c r="E33" s="99"/>
      <c r="F33" s="99"/>
      <c r="G33" s="99"/>
    </row>
    <row r="34" spans="3:27">
      <c r="C34" s="99"/>
      <c r="D34" s="99"/>
      <c r="E34" s="99"/>
      <c r="F34" s="99"/>
      <c r="G34" s="99"/>
    </row>
    <row r="35" spans="3:27">
      <c r="C35" s="99"/>
      <c r="D35" s="99"/>
      <c r="E35" s="99"/>
      <c r="F35" s="99"/>
      <c r="G35" s="99"/>
      <c r="Z35" s="87"/>
      <c r="AA35" s="87"/>
    </row>
    <row r="36" spans="3:27">
      <c r="E36" s="99"/>
      <c r="F36" s="99"/>
      <c r="G36" s="99"/>
      <c r="W36" s="94">
        <f t="shared" ref="W36" si="0">W19*1.05</f>
        <v>0</v>
      </c>
    </row>
    <row r="37" spans="3:27">
      <c r="E37" s="99"/>
      <c r="F37" s="99"/>
      <c r="G37" s="99"/>
    </row>
    <row r="38" spans="3:27">
      <c r="E38" s="99"/>
      <c r="F38" s="99"/>
      <c r="G38" s="113"/>
      <c r="H38" s="82"/>
    </row>
    <row r="39" spans="3:27">
      <c r="E39" s="99"/>
      <c r="F39" s="99"/>
      <c r="G39" s="113"/>
      <c r="H39" s="82"/>
    </row>
    <row r="40" spans="3:27">
      <c r="E40" s="99"/>
      <c r="F40" s="99"/>
      <c r="G40" s="113"/>
      <c r="H40" s="82"/>
    </row>
    <row r="41" spans="3:27">
      <c r="E41" s="99"/>
      <c r="F41" s="99"/>
      <c r="G41" s="113"/>
      <c r="H41" s="82"/>
    </row>
    <row r="42" spans="3:27">
      <c r="E42" s="99"/>
      <c r="F42" s="99"/>
      <c r="G42" s="113"/>
      <c r="H42" s="82"/>
    </row>
    <row r="43" spans="3:27">
      <c r="E43" s="99"/>
      <c r="F43" s="99"/>
      <c r="G43" s="113"/>
      <c r="H43" s="82"/>
    </row>
    <row r="44" spans="3:27">
      <c r="E44" s="99"/>
      <c r="F44" s="99"/>
      <c r="G44" s="113"/>
      <c r="H44" s="82"/>
    </row>
    <row r="45" spans="3:27">
      <c r="G45" s="82"/>
      <c r="H45" s="82"/>
    </row>
    <row r="46" spans="3:27">
      <c r="G46" s="82"/>
      <c r="H46" s="82"/>
    </row>
    <row r="47" spans="3:27">
      <c r="G47" s="82"/>
      <c r="H47" s="82"/>
    </row>
    <row r="48" spans="3:27">
      <c r="G48" s="82"/>
      <c r="H48" s="82"/>
    </row>
  </sheetData>
  <sheetProtection selectLockedCells="1" selectUnlockedCells="1"/>
  <mergeCells count="6">
    <mergeCell ref="F21:G21"/>
    <mergeCell ref="C21:D21"/>
    <mergeCell ref="C3:G3"/>
    <mergeCell ref="E5:F5"/>
    <mergeCell ref="C18:E18"/>
    <mergeCell ref="E4:F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413F9-F3F3-40EC-B97D-C06F00132597}">
  <sheetPr codeName="Sheet3"/>
  <dimension ref="C3:AB48"/>
  <sheetViews>
    <sheetView workbookViewId="0">
      <selection activeCell="B2" sqref="B2:B3"/>
    </sheetView>
  </sheetViews>
  <sheetFormatPr defaultColWidth="9.140625" defaultRowHeight="15"/>
  <cols>
    <col min="3" max="3" width="11" customWidth="1"/>
    <col min="4" max="4" width="12.5703125" customWidth="1"/>
    <col min="5" max="5" width="13.140625" customWidth="1"/>
    <col min="6" max="6" width="12.85546875" customWidth="1"/>
    <col min="7" max="7" width="7.7109375" customWidth="1"/>
    <col min="8" max="8" width="11.7109375" bestFit="1" customWidth="1"/>
    <col min="9" max="9" width="12" style="90" customWidth="1"/>
    <col min="10" max="10" width="17.5703125" customWidth="1"/>
    <col min="11" max="11" width="15" customWidth="1"/>
    <col min="12" max="12" width="22.28515625" customWidth="1"/>
    <col min="13" max="13" width="21.28515625" customWidth="1"/>
    <col min="14" max="14" width="11.140625" customWidth="1"/>
    <col min="16" max="16" width="14.85546875" customWidth="1"/>
    <col min="18" max="18" width="17.140625" customWidth="1"/>
    <col min="19" max="19" width="18" customWidth="1"/>
    <col min="20" max="20" width="11.5703125" customWidth="1"/>
    <col min="22" max="23" width="16" bestFit="1" customWidth="1"/>
    <col min="24" max="24" width="18.42578125" customWidth="1"/>
    <col min="25" max="25" width="22" customWidth="1"/>
    <col min="26" max="27" width="12.5703125" customWidth="1"/>
    <col min="28" max="28" width="11.5703125" bestFit="1" customWidth="1"/>
    <col min="29" max="29" width="16" bestFit="1" customWidth="1"/>
    <col min="30" max="30" width="11" customWidth="1"/>
  </cols>
  <sheetData>
    <row r="3" spans="3:12">
      <c r="C3" s="225" t="s">
        <v>1</v>
      </c>
      <c r="D3" s="225"/>
      <c r="E3" s="225"/>
      <c r="F3" s="225"/>
      <c r="G3" s="225"/>
    </row>
    <row r="4" spans="3:12">
      <c r="C4" s="98" t="s">
        <v>370</v>
      </c>
      <c r="D4" s="99"/>
      <c r="E4" s="99"/>
      <c r="F4" s="99"/>
      <c r="G4" s="99"/>
    </row>
    <row r="5" spans="3:12" ht="36" customHeight="1">
      <c r="C5" s="100"/>
      <c r="D5" s="100"/>
      <c r="E5" s="226" t="s">
        <v>342</v>
      </c>
      <c r="F5" s="227"/>
      <c r="G5" s="99"/>
      <c r="I5" s="91"/>
      <c r="J5" t="s">
        <v>371</v>
      </c>
    </row>
    <row r="6" spans="3:12" ht="31.5" customHeight="1">
      <c r="C6" s="100" t="s">
        <v>38</v>
      </c>
      <c r="D6" s="100" t="s">
        <v>343</v>
      </c>
      <c r="E6" s="132" t="s">
        <v>344</v>
      </c>
      <c r="F6" s="100" t="s">
        <v>345</v>
      </c>
      <c r="G6" s="132" t="s">
        <v>47</v>
      </c>
      <c r="H6" s="101"/>
    </row>
    <row r="7" spans="3:12" ht="15.75" customHeight="1">
      <c r="C7" s="102" t="s">
        <v>346</v>
      </c>
      <c r="D7" s="1">
        <v>1</v>
      </c>
      <c r="E7" s="103">
        <v>57212.126400000001</v>
      </c>
      <c r="F7" s="103">
        <v>79381.5</v>
      </c>
      <c r="G7" s="134">
        <v>870.35142857142841</v>
      </c>
      <c r="H7" s="88"/>
      <c r="J7" s="142">
        <f>E7*1.02</f>
        <v>58356.368928000004</v>
      </c>
      <c r="K7" s="142">
        <f t="shared" ref="K7:L7" si="0">F7*1.02</f>
        <v>80969.13</v>
      </c>
      <c r="L7" s="142">
        <f t="shared" si="0"/>
        <v>887.75845714285697</v>
      </c>
    </row>
    <row r="8" spans="3:12" ht="15.75" customHeight="1">
      <c r="C8" s="105" t="s">
        <v>347</v>
      </c>
      <c r="D8" s="1">
        <v>30</v>
      </c>
      <c r="E8" s="103">
        <v>82558.881600000008</v>
      </c>
      <c r="F8" s="103">
        <v>86077.555200000003</v>
      </c>
      <c r="G8" s="134">
        <v>121.33357241379298</v>
      </c>
      <c r="H8" s="88"/>
      <c r="J8" s="142">
        <f t="shared" ref="J8:J17" si="1">E8*1.02</f>
        <v>84210.059232000014</v>
      </c>
      <c r="K8" s="142">
        <f t="shared" ref="K8:K17" si="2">F8*1.02</f>
        <v>87799.106304000001</v>
      </c>
      <c r="L8" s="142">
        <f t="shared" ref="L8:L17" si="3">G8*1.02</f>
        <v>123.76024386206885</v>
      </c>
    </row>
    <row r="9" spans="3:12" ht="15.75" customHeight="1">
      <c r="C9" s="105" t="s">
        <v>348</v>
      </c>
      <c r="D9" s="1">
        <v>60</v>
      </c>
      <c r="E9" s="103">
        <v>86078.615999999995</v>
      </c>
      <c r="F9" s="103">
        <v>94612.752000000008</v>
      </c>
      <c r="G9" s="133">
        <v>78.294825688073473</v>
      </c>
      <c r="H9" s="88"/>
      <c r="J9" s="142">
        <f t="shared" si="1"/>
        <v>87800.188320000001</v>
      </c>
      <c r="K9" s="142">
        <f t="shared" si="2"/>
        <v>96505.007040000011</v>
      </c>
      <c r="L9" s="142">
        <f t="shared" si="3"/>
        <v>79.860722201834946</v>
      </c>
    </row>
    <row r="10" spans="3:12" ht="15.75" customHeight="1">
      <c r="C10" s="105" t="s">
        <v>349</v>
      </c>
      <c r="D10" s="1">
        <v>170</v>
      </c>
      <c r="E10" s="103">
        <v>94613.812800000014</v>
      </c>
      <c r="F10" s="103">
        <v>103993.40640000001</v>
      </c>
      <c r="G10" s="133">
        <v>40.958924017467233</v>
      </c>
      <c r="H10" s="88"/>
      <c r="J10" s="142">
        <f t="shared" si="1"/>
        <v>96506.089056000012</v>
      </c>
      <c r="K10" s="142">
        <f t="shared" si="2"/>
        <v>106073.27452800001</v>
      </c>
      <c r="L10" s="142">
        <f t="shared" si="3"/>
        <v>41.778102497816576</v>
      </c>
    </row>
    <row r="11" spans="3:12" ht="15.75" customHeight="1">
      <c r="C11" s="105" t="s">
        <v>350</v>
      </c>
      <c r="D11" s="1">
        <v>400</v>
      </c>
      <c r="E11" s="103">
        <v>103994.46720000001</v>
      </c>
      <c r="F11" s="103">
        <v>119842.8192</v>
      </c>
      <c r="G11" s="133">
        <v>53.004521739130396</v>
      </c>
      <c r="H11" s="88"/>
      <c r="J11" s="142">
        <f t="shared" si="1"/>
        <v>106074.35654400001</v>
      </c>
      <c r="K11" s="142">
        <f t="shared" si="2"/>
        <v>122239.675584</v>
      </c>
      <c r="L11" s="142">
        <f t="shared" si="3"/>
        <v>54.064612173913005</v>
      </c>
    </row>
    <row r="12" spans="3:12" ht="15.75" customHeight="1">
      <c r="C12" s="105" t="s">
        <v>351</v>
      </c>
      <c r="D12" s="1">
        <v>700</v>
      </c>
      <c r="E12" s="103">
        <v>119843.88</v>
      </c>
      <c r="F12" s="103">
        <v>140013.93119999999</v>
      </c>
      <c r="G12" s="133">
        <v>67.458365217391304</v>
      </c>
      <c r="H12" s="88"/>
      <c r="J12" s="142">
        <f t="shared" si="1"/>
        <v>122240.75760000001</v>
      </c>
      <c r="K12" s="142">
        <f t="shared" si="2"/>
        <v>142814.20982399999</v>
      </c>
      <c r="L12" s="142">
        <f t="shared" si="3"/>
        <v>68.807532521739134</v>
      </c>
    </row>
    <row r="13" spans="3:12" ht="15.75" customHeight="1">
      <c r="C13" s="105" t="s">
        <v>352</v>
      </c>
      <c r="D13" s="1">
        <v>1000</v>
      </c>
      <c r="E13" s="103">
        <v>140014.992</v>
      </c>
      <c r="F13" s="103">
        <v>151435.56479999999</v>
      </c>
      <c r="G13" s="133">
        <v>22.886919438877772</v>
      </c>
      <c r="H13" s="88"/>
      <c r="J13" s="142">
        <f t="shared" si="1"/>
        <v>142815.29183999999</v>
      </c>
      <c r="K13" s="142">
        <f t="shared" si="2"/>
        <v>154464.27609599999</v>
      </c>
      <c r="L13" s="142">
        <f t="shared" si="3"/>
        <v>23.344657827655329</v>
      </c>
    </row>
    <row r="14" spans="3:12" ht="15.75" customHeight="1">
      <c r="C14" s="105" t="s">
        <v>353</v>
      </c>
      <c r="D14" s="1">
        <v>1500</v>
      </c>
      <c r="E14" s="103">
        <v>151436.62560000003</v>
      </c>
      <c r="F14" s="103">
        <v>165263.09280000001</v>
      </c>
      <c r="G14" s="133">
        <v>27.708351102204393</v>
      </c>
      <c r="H14" s="88"/>
      <c r="J14" s="142">
        <f t="shared" si="1"/>
        <v>154465.35811200005</v>
      </c>
      <c r="K14" s="142">
        <f t="shared" si="2"/>
        <v>168568.35465600001</v>
      </c>
      <c r="L14" s="142">
        <f t="shared" si="3"/>
        <v>28.26251812424848</v>
      </c>
    </row>
    <row r="15" spans="3:12" ht="15.75" customHeight="1">
      <c r="C15" s="105" t="s">
        <v>354</v>
      </c>
      <c r="D15" s="1">
        <v>2000</v>
      </c>
      <c r="E15" s="103">
        <v>165264.15359999999</v>
      </c>
      <c r="F15" s="103">
        <v>180907.77119999999</v>
      </c>
      <c r="G15" s="133">
        <v>15.659276876876879</v>
      </c>
      <c r="H15" s="88"/>
      <c r="J15" s="142">
        <f t="shared" si="1"/>
        <v>168569.43667199998</v>
      </c>
      <c r="K15" s="142">
        <f t="shared" si="2"/>
        <v>184525.92662399999</v>
      </c>
      <c r="L15" s="142">
        <f t="shared" si="3"/>
        <v>15.972462414414416</v>
      </c>
    </row>
    <row r="16" spans="3:12" ht="15.75" customHeight="1">
      <c r="C16" s="105" t="s">
        <v>355</v>
      </c>
      <c r="D16" s="1">
        <v>3000</v>
      </c>
      <c r="E16" s="103">
        <v>180908.83200000002</v>
      </c>
      <c r="F16" s="103">
        <v>197763.88320000001</v>
      </c>
      <c r="G16" s="104">
        <v>8.4317414707353677</v>
      </c>
      <c r="H16" s="88"/>
      <c r="J16" s="142">
        <f t="shared" si="1"/>
        <v>184527.00864000001</v>
      </c>
      <c r="K16" s="142">
        <f t="shared" si="2"/>
        <v>201719.160864</v>
      </c>
      <c r="L16" s="142">
        <f t="shared" si="3"/>
        <v>8.6003763001500744</v>
      </c>
    </row>
    <row r="17" spans="3:12" ht="15.75" customHeight="1">
      <c r="C17" s="105" t="s">
        <v>356</v>
      </c>
      <c r="D17" s="1">
        <v>5000</v>
      </c>
      <c r="E17" s="103">
        <v>197766.0048</v>
      </c>
      <c r="F17" s="103">
        <v>210515.76</v>
      </c>
      <c r="G17" s="104">
        <v>4.2513355118372802</v>
      </c>
      <c r="H17" s="88"/>
      <c r="J17" s="142">
        <f t="shared" si="1"/>
        <v>201721.32489600001</v>
      </c>
      <c r="K17" s="142">
        <f t="shared" si="2"/>
        <v>214726.07520000002</v>
      </c>
      <c r="L17" s="142">
        <f t="shared" si="3"/>
        <v>4.3363622220740261</v>
      </c>
    </row>
    <row r="18" spans="3:12" ht="15.75" customHeight="1">
      <c r="C18" s="228" t="s">
        <v>357</v>
      </c>
      <c r="D18" s="229"/>
      <c r="E18" s="230"/>
      <c r="F18" s="106">
        <v>210516</v>
      </c>
      <c r="G18" s="99"/>
      <c r="K18" s="142">
        <f>K17</f>
        <v>214726.07520000002</v>
      </c>
    </row>
    <row r="19" spans="3:12" ht="15" customHeight="1">
      <c r="C19" s="99"/>
      <c r="D19" s="99"/>
      <c r="E19" s="99"/>
      <c r="F19" s="99"/>
      <c r="G19" s="99"/>
      <c r="I19" s="92"/>
    </row>
    <row r="20" spans="3:12" ht="15.75" customHeight="1" thickBot="1">
      <c r="C20" s="99"/>
      <c r="D20" s="99"/>
      <c r="E20" s="99"/>
      <c r="F20" s="99"/>
      <c r="G20" s="99"/>
    </row>
    <row r="21" spans="3:12" ht="15" customHeight="1" thickBot="1">
      <c r="C21" s="223" t="s">
        <v>358</v>
      </c>
      <c r="D21" s="224"/>
      <c r="E21" s="99"/>
      <c r="F21" s="99"/>
      <c r="G21" s="99"/>
    </row>
    <row r="22" spans="3:12" ht="31.5" customHeight="1">
      <c r="C22" s="107" t="s">
        <v>360</v>
      </c>
      <c r="D22" s="141" t="s">
        <v>361</v>
      </c>
      <c r="E22" s="99"/>
      <c r="F22" s="109"/>
      <c r="G22" s="99"/>
    </row>
    <row r="23" spans="3:12" ht="15.75">
      <c r="C23" s="110">
        <v>1</v>
      </c>
      <c r="D23" s="103">
        <v>0</v>
      </c>
      <c r="E23" s="99"/>
      <c r="F23" s="109" t="s">
        <v>372</v>
      </c>
      <c r="G23" s="99"/>
    </row>
    <row r="24" spans="3:12" ht="15.75">
      <c r="C24" s="110">
        <v>2</v>
      </c>
      <c r="D24" s="103">
        <v>1500</v>
      </c>
      <c r="E24" s="99"/>
      <c r="F24" s="109" t="s">
        <v>373</v>
      </c>
      <c r="G24" s="99"/>
    </row>
    <row r="25" spans="3:12" ht="15.75">
      <c r="C25" s="110">
        <v>3</v>
      </c>
      <c r="D25" s="103">
        <v>2500</v>
      </c>
      <c r="E25" s="99"/>
      <c r="F25" s="99"/>
      <c r="G25" s="99"/>
    </row>
    <row r="26" spans="3:12" ht="15.75">
      <c r="C26" s="110">
        <v>4</v>
      </c>
      <c r="D26" s="103">
        <v>3500</v>
      </c>
      <c r="E26" s="99"/>
      <c r="F26" s="99"/>
      <c r="G26" s="99"/>
    </row>
    <row r="27" spans="3:12" ht="15.75">
      <c r="C27" s="110">
        <v>5</v>
      </c>
      <c r="D27" s="103">
        <v>5500</v>
      </c>
      <c r="E27" s="99"/>
      <c r="F27" s="99"/>
      <c r="G27" s="99"/>
    </row>
    <row r="28" spans="3:12" ht="15.75">
      <c r="C28" s="110">
        <v>6</v>
      </c>
      <c r="D28" s="103">
        <v>7500</v>
      </c>
      <c r="E28" s="99"/>
      <c r="F28" s="99"/>
      <c r="G28" s="99"/>
    </row>
    <row r="29" spans="3:12" ht="15.75">
      <c r="C29" s="110">
        <v>7</v>
      </c>
      <c r="D29" s="103">
        <v>10000</v>
      </c>
      <c r="E29" s="99"/>
      <c r="F29" s="99"/>
      <c r="G29" s="99"/>
    </row>
    <row r="30" spans="3:12" ht="15.75">
      <c r="C30" s="110">
        <v>8</v>
      </c>
      <c r="D30" s="103">
        <v>12500</v>
      </c>
      <c r="E30" s="99"/>
      <c r="F30" s="99"/>
      <c r="G30" s="99"/>
    </row>
    <row r="31" spans="3:12" ht="15.75">
      <c r="C31" s="110">
        <v>9</v>
      </c>
      <c r="D31" s="103">
        <v>14500</v>
      </c>
      <c r="E31" s="99"/>
      <c r="F31" s="99"/>
      <c r="G31" s="99"/>
    </row>
    <row r="32" spans="3:12" ht="15.75">
      <c r="C32" s="110">
        <v>10</v>
      </c>
      <c r="D32" s="103">
        <v>16500</v>
      </c>
      <c r="E32" s="99"/>
      <c r="F32" s="99"/>
      <c r="G32" s="99"/>
    </row>
    <row r="33" spans="3:28">
      <c r="C33" s="99"/>
      <c r="D33" s="99"/>
      <c r="E33" s="99"/>
      <c r="F33" s="99"/>
      <c r="G33" s="99"/>
    </row>
    <row r="34" spans="3:28">
      <c r="C34" s="99"/>
      <c r="D34" s="99"/>
      <c r="E34" s="99"/>
      <c r="F34" s="99"/>
      <c r="G34" s="99"/>
    </row>
    <row r="35" spans="3:28">
      <c r="C35" s="99"/>
      <c r="D35" s="99"/>
      <c r="E35" s="99"/>
      <c r="F35" s="99"/>
      <c r="G35" s="99"/>
      <c r="AA35" s="87"/>
      <c r="AB35" s="87"/>
    </row>
    <row r="36" spans="3:28" ht="15.75">
      <c r="C36" s="221" t="s">
        <v>359</v>
      </c>
      <c r="D36" s="222"/>
      <c r="E36" s="99"/>
      <c r="F36" s="99"/>
      <c r="G36" s="99"/>
      <c r="X36" s="94">
        <f t="shared" ref="X36" si="4">X19*1.05</f>
        <v>0</v>
      </c>
    </row>
    <row r="37" spans="3:28" ht="94.5">
      <c r="C37" s="108" t="s">
        <v>362</v>
      </c>
      <c r="D37" s="108" t="s">
        <v>363</v>
      </c>
      <c r="E37" s="99"/>
      <c r="F37" s="99"/>
      <c r="G37" s="99"/>
    </row>
    <row r="38" spans="3:28" ht="15.75">
      <c r="C38" s="111" t="s">
        <v>364</v>
      </c>
      <c r="D38" s="112">
        <v>1500</v>
      </c>
      <c r="E38" s="99"/>
      <c r="F38" s="99"/>
      <c r="G38" s="113"/>
      <c r="H38" s="82"/>
      <c r="I38" s="93"/>
    </row>
    <row r="39" spans="3:28" ht="15.75">
      <c r="C39" s="114" t="s">
        <v>365</v>
      </c>
      <c r="D39" s="112">
        <v>2500</v>
      </c>
      <c r="E39" s="99"/>
      <c r="F39" s="99"/>
      <c r="G39" s="113"/>
      <c r="H39" s="82"/>
      <c r="I39" s="93"/>
    </row>
    <row r="40" spans="3:28" ht="15.75">
      <c r="C40" s="114" t="s">
        <v>366</v>
      </c>
      <c r="D40" s="112">
        <v>3500</v>
      </c>
      <c r="E40" s="99"/>
      <c r="F40" s="99"/>
      <c r="G40" s="113"/>
      <c r="H40" s="82"/>
      <c r="I40" s="93"/>
    </row>
    <row r="41" spans="3:28" ht="15.75">
      <c r="C41" s="114" t="s">
        <v>367</v>
      </c>
      <c r="D41" s="112">
        <v>4500</v>
      </c>
      <c r="E41" s="99"/>
      <c r="F41" s="99"/>
      <c r="G41" s="113"/>
      <c r="H41" s="82"/>
      <c r="I41" s="93"/>
    </row>
    <row r="42" spans="3:28" ht="15.75">
      <c r="C42" s="110" t="s">
        <v>350</v>
      </c>
      <c r="D42" s="112">
        <v>5500</v>
      </c>
      <c r="E42" s="99"/>
      <c r="F42" s="99"/>
      <c r="G42" s="113"/>
      <c r="H42" s="82"/>
      <c r="I42" s="93"/>
    </row>
    <row r="43" spans="3:28" ht="15.75">
      <c r="C43" s="110" t="s">
        <v>368</v>
      </c>
      <c r="D43" s="112">
        <v>6500</v>
      </c>
      <c r="E43" s="99"/>
      <c r="F43" s="99"/>
      <c r="G43" s="113"/>
      <c r="H43" s="82"/>
      <c r="I43" s="93"/>
    </row>
    <row r="44" spans="3:28" ht="15.75">
      <c r="C44" s="115" t="s">
        <v>369</v>
      </c>
      <c r="D44" s="115" t="s">
        <v>369</v>
      </c>
      <c r="E44" s="99"/>
      <c r="F44" s="99"/>
      <c r="G44" s="113"/>
      <c r="H44" s="82"/>
      <c r="I44" s="93"/>
    </row>
    <row r="45" spans="3:28">
      <c r="G45" s="82"/>
      <c r="H45" s="82"/>
      <c r="I45" s="93"/>
    </row>
    <row r="46" spans="3:28">
      <c r="G46" s="82"/>
      <c r="H46" s="82"/>
      <c r="I46" s="93"/>
    </row>
    <row r="47" spans="3:28">
      <c r="G47" s="82"/>
      <c r="H47" s="82"/>
      <c r="I47" s="93"/>
    </row>
    <row r="48" spans="3:28">
      <c r="G48" s="82"/>
      <c r="H48" s="82"/>
      <c r="I48" s="93"/>
    </row>
  </sheetData>
  <mergeCells count="5">
    <mergeCell ref="C3:G3"/>
    <mergeCell ref="E5:F5"/>
    <mergeCell ref="C18:E18"/>
    <mergeCell ref="C21:D21"/>
    <mergeCell ref="C36:D3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7b83dbe2-6fd2-449a-a932-0d75829bf641">
      <UserInfo>
        <DisplayName>Curran, Courtney S. (EOHLC)</DisplayName>
        <AccountId>300</AccountId>
        <AccountType/>
      </UserInfo>
      <UserInfo>
        <DisplayName>Farrell, Mary (EOHLC)</DisplayName>
        <AccountId>36</AccountId>
        <AccountType/>
      </UserInfo>
      <UserInfo>
        <DisplayName>Sousa, Carrie (EOHLC)</DisplayName>
        <AccountId>35</AccountId>
        <AccountType/>
      </UserInfo>
      <UserInfo>
        <DisplayName>Wright, Jason D. (EOHLC)</DisplayName>
        <AccountId>2099</AccountId>
        <AccountType/>
      </UserInfo>
    </SharedWithUsers>
    <lcf76f155ced4ddcb4097134ff3c332f xmlns="d1706ee9-80ee-4f25-af17-8ecdea1037d8">
      <Terms xmlns="http://schemas.microsoft.com/office/infopath/2007/PartnerControls"/>
    </lcf76f155ced4ddcb4097134ff3c332f>
    <TaxCatchAll xmlns="7b83dbe2-6fd2-449a-a932-0d75829bf641" xsi:nil="true"/>
  </documentManagement>
</p:properties>
</file>

<file path=customXml/item2.xml>��< ? x m l   v e r s i o n = " 1 . 0 "   e n c o d i n g = " u t f - 1 6 " ? > < D a t a M a s h u p   x m l n s = " h t t p : / / s c h e m a s . m i c r o s o f t . c o m / D a t a M a s h u p " > A A A A A B Q D A A B Q S w M E F A A C A A g A q n l x X B I u 8 v e k A A A A 9 g A A A B I A H A B D b 2 5 m a W c v U G F j a 2 F n Z S 5 4 b W w g o h g A K K A U A A A A A A A A A A A A A A A A A A A A A A A A A A A A h Y 8 x D o I w G I W v Q r r T l h I T Q n 7 K 4 C q J C d G 4 N q V C I x R D i + V u D h 7 J K 4 h R 1 M 3 x f e 8 b 3 r t f b 5 B P X R t c 1 G B 1 b z I U Y Y o C Z W R f a V N n a H T H M E E 5 h 6 2 Q J 1 G r Y J a N T S d b Z a h x 7 p w S 4 r 3 H P s b 9 U B N G a U Q O x a a U j e o E + s j 6 v x x q Y 5 0 w U i E O + 9 c Y z n C 0 i n D M E k y B L B A K b b 4 C m / c + 2 x 8 I 6 7 F 1 4 6 C 4 M u G u B L J E I O 8 P / A F Q S w M E F A A C A A g A q n l x 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p 5 c V w o i k e 4 D g A A A B E A A A A T A B w A R m 9 y b X V s Y X M v U 2 V j d G l v b j E u b S C i G A A o o B Q A A A A A A A A A A A A A A A A A A A A A A A A A A A A r T k 0 u y c z P U w i G 0 I b W A F B L A Q I t A B Q A A g A I A K p 5 c V w S L v L 3 p A A A A P Y A A A A S A A A A A A A A A A A A A A A A A A A A A A B D b 2 5 m a W c v U G F j a 2 F n Z S 5 4 b W x Q S w E C L Q A U A A I A C A C q e X F c D 8 r p q 6 Q A A A D p A A A A E w A A A A A A A A A A A A A A A A D w A A A A W 0 N v b n R l b n R f V H l w Z X N d L n h t b F B L A Q I t A B Q A A g A I A K p 5 c V w 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0 1 1 b c g x X q S o k A i 8 G J 4 + t B A A A A A A I A A A A A A B B m A A A A A Q A A I A A A A M M y g N j r 2 E 9 U E S Z b h 4 z e e O / H Y U 0 0 v Q 8 C i e 0 9 p e e O o E x k A A A A A A 6 A A A A A A g A A I A A A A I l H 1 g v S d w F P q c C q 8 Y 1 G f r O x C o Z h Y g A L B n 0 W W s O U l f G K U A A A A B V / N M 9 o f 1 b s K y C s n c O C u 7 C s s r P / C k E B G 9 E V / 8 J A c 6 L F C 7 4 D s Q I y Y x j 0 J 7 P 0 6 Z Q t 7 m / l 2 e 2 s h C X E j A + w f m V l s 3 x N m n e G E O I K S U a Y G X f F L K M 2 Q A A A A H z l 4 o 3 n z E H u Y P L j O U Z 8 Z o z p i + F z H P P b o z w m 2 D 2 / e U + 3 N W C 6 g L e A q v I B H J t S C o s V w U f Z F Y J a x i H 0 4 7 g q v O c j T p w = < / D a t a M a s h u p > 
</file>

<file path=customXml/item3.xml><?xml version="1.0" encoding="utf-8"?>
<ct:contentTypeSchema xmlns:ct="http://schemas.microsoft.com/office/2006/metadata/contentType" xmlns:ma="http://schemas.microsoft.com/office/2006/metadata/properties/metaAttributes" ct:_="" ma:_="" ma:contentTypeName="Document" ma:contentTypeID="0x01010029D5957896562942B02BE26174CF78CB" ma:contentTypeVersion="17" ma:contentTypeDescription="Create a new document." ma:contentTypeScope="" ma:versionID="9f5879caac1a8187d6e94092bea6a822">
  <xsd:schema xmlns:xsd="http://www.w3.org/2001/XMLSchema" xmlns:xs="http://www.w3.org/2001/XMLSchema" xmlns:p="http://schemas.microsoft.com/office/2006/metadata/properties" xmlns:ns2="d1706ee9-80ee-4f25-af17-8ecdea1037d8" xmlns:ns3="7b83dbe2-6fd2-449a-a932-0d75829bf641" targetNamespace="http://schemas.microsoft.com/office/2006/metadata/properties" ma:root="true" ma:fieldsID="dd666bcc4e69c57e4801e36fe81a00ab" ns2:_="" ns3:_="">
    <xsd:import namespace="d1706ee9-80ee-4f25-af17-8ecdea1037d8"/>
    <xsd:import namespace="7b83dbe2-6fd2-449a-a932-0d75829bf641"/>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706ee9-80ee-4f25-af17-8ecdea1037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83dbe2-6fd2-449a-a932-0d75829bf641" elementFormDefault="qualified">
    <xsd:import namespace="http://schemas.microsoft.com/office/2006/documentManagement/types"/>
    <xsd:import namespace="http://schemas.microsoft.com/office/infopath/2007/PartnerControls"/>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e18d57f0-39b7-419b-ae5a-a0499e915ce3}" ma:internalName="TaxCatchAll" ma:showField="CatchAllData" ma:web="7b83dbe2-6fd2-449a-a932-0d75829bf6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D03B19-BB9F-44A5-904D-C08F6BE79B6C}">
  <ds:schemaRefs>
    <ds:schemaRef ds:uri="d1706ee9-80ee-4f25-af17-8ecdea1037d8"/>
    <ds:schemaRef ds:uri="http://schemas.microsoft.com/office/infopath/2007/PartnerControls"/>
    <ds:schemaRef ds:uri="http://schemas.microsoft.com/office/2006/documentManagement/types"/>
    <ds:schemaRef ds:uri="http://purl.org/dc/elements/1.1/"/>
    <ds:schemaRef ds:uri="http://www.w3.org/XML/1998/namespace"/>
    <ds:schemaRef ds:uri="7b83dbe2-6fd2-449a-a932-0d75829bf641"/>
    <ds:schemaRef ds:uri="http://purl.org/dc/terms/"/>
    <ds:schemaRef ds:uri="http://purl.org/dc/dcmityp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E6227CDE-1555-45D5-846E-655E0CA9B00D}">
  <ds:schemaRefs>
    <ds:schemaRef ds:uri="http://schemas.microsoft.com/DataMashup"/>
  </ds:schemaRefs>
</ds:datastoreItem>
</file>

<file path=customXml/itemProps3.xml><?xml version="1.0" encoding="utf-8"?>
<ds:datastoreItem xmlns:ds="http://schemas.openxmlformats.org/officeDocument/2006/customXml" ds:itemID="{B04A4A82-D639-4855-A44D-1933DA5141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706ee9-80ee-4f25-af17-8ecdea1037d8"/>
    <ds:schemaRef ds:uri="7b83dbe2-6fd2-449a-a932-0d75829bf6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C7E27FF-143C-4280-93CE-0BEA009E9D70}">
  <ds:schemaRefs>
    <ds:schemaRef ds:uri="http://schemas.microsoft.com/sharepoint/v3/contenttype/forms"/>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ED Salary Calculation Worksheet</vt:lpstr>
      <vt:lpstr>LHA Lookup</vt:lpstr>
      <vt:lpstr>Salary Lookup</vt:lpstr>
      <vt:lpstr>FORMULA INCREASE</vt:lpstr>
      <vt:lpstr>FAMILY_FACTOR</vt:lpstr>
      <vt:lpstr>'ED Salary Calculation Worksheet'!Print_Area</vt:lpstr>
      <vt:lpstr>PROGRAM_FACTOR</vt:lpstr>
      <vt:lpstr>Sal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Teresa</dc:creator>
  <cp:keywords/>
  <dc:description/>
  <cp:lastModifiedBy>Curran, Courtney S. (HLC)</cp:lastModifiedBy>
  <cp:revision/>
  <dcterms:created xsi:type="dcterms:W3CDTF">2016-10-25T16:32:17Z</dcterms:created>
  <dcterms:modified xsi:type="dcterms:W3CDTF">2026-04-01T10:55:45Z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0x01010029D5957896562942B02BE26174CF78CB</vt:lpwstr>
  </property>
  <property fmtid="{D5CDD505-2E9C-101B-9397-08002B2CF9AE}" pid="3" name="Order">
    <vt:r8>12973400</vt:r8>
  </property>
  <property fmtid="{D5CDD505-2E9C-101B-9397-08002B2CF9AE}" pid="4" name="MediaServiceImageTags">
    <vt:lpwstr/>
  </property>
</Properties>
</file>