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DEP-BAW-Shared/Air/GHG/310 CMR 7.74 Reducing CO2 from EGUs/Compliance Workbooks/Limits and Adjusted Caps/"/>
    </mc:Choice>
  </mc:AlternateContent>
  <xr:revisionPtr revIDLastSave="0" documentId="8_{3E1C1B40-6D16-42A1-A239-A5DEF09431D6}" xr6:coauthVersionLast="47" xr6:coauthVersionMax="47" xr10:uidLastSave="{00000000-0000-0000-0000-000000000000}"/>
  <bookViews>
    <workbookView xWindow="-110" yWindow="-110" windowWidth="19420" windowHeight="10300" firstSheet="1" activeTab="3" xr2:uid="{65F67FFF-28C3-4013-B1E6-983212D60D98}"/>
  </bookViews>
  <sheets>
    <sheet name="2022" sheetId="1" r:id="rId1"/>
    <sheet name="2023" sheetId="5" r:id="rId2"/>
    <sheet name="2024" sheetId="6" r:id="rId3"/>
    <sheet name="2025" sheetId="8" r:id="rId4"/>
    <sheet name="2026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8" l="1"/>
  <c r="G17" i="5"/>
  <c r="G21" i="8"/>
  <c r="J10" i="10"/>
  <c r="G11" i="10"/>
  <c r="G10" i="10"/>
  <c r="G17" i="10"/>
  <c r="G16" i="1"/>
  <c r="G10" i="8"/>
  <c r="G20" i="10"/>
  <c r="G19" i="10"/>
  <c r="G13" i="10"/>
  <c r="G12" i="10"/>
  <c r="C8" i="10"/>
  <c r="B13" i="10" s="1"/>
  <c r="G17" i="6"/>
  <c r="G19" i="5"/>
  <c r="G21" i="1"/>
  <c r="J12" i="1"/>
  <c r="G19" i="8"/>
  <c r="C8" i="8"/>
  <c r="C11" i="8" s="1"/>
  <c r="G12" i="8" l="1"/>
  <c r="B12" i="10"/>
  <c r="C13" i="10"/>
  <c r="H13" i="10" s="1"/>
  <c r="C11" i="10"/>
  <c r="K13" i="10"/>
  <c r="C15" i="10"/>
  <c r="C10" i="10"/>
  <c r="G16" i="10"/>
  <c r="C12" i="10"/>
  <c r="B13" i="8"/>
  <c r="C13" i="8"/>
  <c r="C10" i="8"/>
  <c r="C15" i="8"/>
  <c r="B12" i="8"/>
  <c r="G16" i="8"/>
  <c r="C12" i="8"/>
  <c r="K12" i="8" s="1"/>
  <c r="K11" i="8"/>
  <c r="H11" i="8"/>
  <c r="B11" i="8"/>
  <c r="G13" i="8" l="1"/>
  <c r="G20" i="8" s="1"/>
  <c r="K12" i="10"/>
  <c r="H12" i="10"/>
  <c r="K11" i="10"/>
  <c r="B11" i="10"/>
  <c r="H11" i="10"/>
  <c r="G21" i="10"/>
  <c r="K10" i="10"/>
  <c r="H10" i="10"/>
  <c r="B10" i="10"/>
  <c r="G11" i="8"/>
  <c r="J10" i="8"/>
  <c r="H12" i="8"/>
  <c r="K10" i="8"/>
  <c r="H10" i="8"/>
  <c r="B10" i="8"/>
  <c r="K13" i="8"/>
  <c r="H13" i="8"/>
  <c r="J11" i="10" l="1"/>
  <c r="J12" i="10"/>
  <c r="J13" i="10"/>
  <c r="J11" i="8"/>
  <c r="J13" i="8"/>
  <c r="J12" i="8"/>
  <c r="G19" i="1" l="1"/>
  <c r="J13" i="1"/>
  <c r="G19" i="6"/>
  <c r="C8" i="6"/>
  <c r="G16" i="6" s="1"/>
  <c r="G12" i="5"/>
  <c r="B12" i="5"/>
  <c r="C8" i="5"/>
  <c r="G16" i="5" s="1"/>
  <c r="C8" i="1"/>
  <c r="B13" i="1" s="1"/>
  <c r="G12" i="1" l="1"/>
  <c r="G13" i="1" s="1"/>
  <c r="G13" i="5"/>
  <c r="G20" i="5" s="1"/>
  <c r="G12" i="6"/>
  <c r="G13" i="6" s="1"/>
  <c r="B12" i="6"/>
  <c r="C12" i="6"/>
  <c r="K12" i="6" s="1"/>
  <c r="B13" i="6"/>
  <c r="C13" i="6"/>
  <c r="K13" i="6" s="1"/>
  <c r="J10" i="6"/>
  <c r="G21" i="6"/>
  <c r="G10" i="6"/>
  <c r="G11" i="6" s="1"/>
  <c r="H13" i="6"/>
  <c r="C11" i="6"/>
  <c r="C15" i="6"/>
  <c r="C10" i="6"/>
  <c r="B13" i="5"/>
  <c r="C13" i="5"/>
  <c r="H13" i="5" s="1"/>
  <c r="G21" i="5"/>
  <c r="J10" i="5"/>
  <c r="G10" i="5"/>
  <c r="G11" i="5" s="1"/>
  <c r="C11" i="5"/>
  <c r="K13" i="5"/>
  <c r="C12" i="5"/>
  <c r="C15" i="5"/>
  <c r="C10" i="5"/>
  <c r="C12" i="1"/>
  <c r="H12" i="1" s="1"/>
  <c r="C13" i="1"/>
  <c r="K13" i="1" s="1"/>
  <c r="B12" i="1"/>
  <c r="C10" i="1"/>
  <c r="H10" i="1" s="1"/>
  <c r="C11" i="1"/>
  <c r="B11" i="1" s="1"/>
  <c r="C15" i="1"/>
  <c r="G20" i="1" l="1"/>
  <c r="G20" i="6"/>
  <c r="H12" i="6"/>
  <c r="H11" i="6"/>
  <c r="B11" i="6"/>
  <c r="K11" i="6"/>
  <c r="J12" i="6"/>
  <c r="J13" i="6"/>
  <c r="J11" i="6"/>
  <c r="B10" i="6"/>
  <c r="K10" i="6"/>
  <c r="H10" i="6"/>
  <c r="B10" i="5"/>
  <c r="K10" i="5"/>
  <c r="H10" i="5"/>
  <c r="K12" i="5"/>
  <c r="H12" i="5"/>
  <c r="H11" i="5"/>
  <c r="K11" i="5"/>
  <c r="B11" i="5"/>
  <c r="J13" i="5"/>
  <c r="J11" i="5"/>
  <c r="J12" i="5"/>
  <c r="H13" i="1"/>
  <c r="G10" i="1"/>
  <c r="G11" i="1" s="1"/>
  <c r="B10" i="1"/>
  <c r="K11" i="1"/>
  <c r="K12" i="1"/>
  <c r="H11" i="1"/>
  <c r="K10" i="1"/>
</calcChain>
</file>

<file path=xl/sharedStrings.xml><?xml version="1.0" encoding="utf-8"?>
<sst xmlns="http://schemas.openxmlformats.org/spreadsheetml/2006/main" count="281" uniqueCount="49">
  <si>
    <t>Projected auction dates and volumes in this workbook are reconsidered before each auction, and may be revised.</t>
  </si>
  <si>
    <t>Final auction dates and volumes are published in an auction notice at least 45 days before each auction.</t>
  </si>
  <si>
    <t>Year of Auction Series:</t>
  </si>
  <si>
    <t>Percent of This Year's Limit Offered in Actions 1 &amp; 2:</t>
  </si>
  <si>
    <t>Percent of Next Year's Limit Offered in Auctions 3 &amp; 4:</t>
  </si>
  <si>
    <t>Auction Series</t>
  </si>
  <si>
    <t>Month</t>
  </si>
  <si>
    <t>Year</t>
  </si>
  <si>
    <t>Auction</t>
  </si>
  <si>
    <t>Number</t>
  </si>
  <si>
    <t>Vintage</t>
  </si>
  <si>
    <t>December 15,</t>
  </si>
  <si>
    <t>-</t>
  </si>
  <si>
    <t>=</t>
  </si>
  <si>
    <t>allowances and</t>
  </si>
  <si>
    <t>allowances</t>
  </si>
  <si>
    <t>March 8,</t>
  </si>
  <si>
    <t>June 8,</t>
  </si>
  <si>
    <t>September 14,</t>
  </si>
  <si>
    <t>Compliance Year Allowance Supply</t>
  </si>
  <si>
    <t>Total Aggregate CO2 Emissions Limit</t>
  </si>
  <si>
    <t>metric tons of carbon dioxide</t>
  </si>
  <si>
    <t>Allowances Auctioned in Prior Year Series</t>
  </si>
  <si>
    <t>Banked Allowances on April 1</t>
  </si>
  <si>
    <t>(calculated in March)</t>
  </si>
  <si>
    <t>Calculated Banking Adjustment</t>
  </si>
  <si>
    <t>(banked allowances minus 223,875)</t>
  </si>
  <si>
    <t>Total Allowance Supply</t>
  </si>
  <si>
    <t>(sum of highlighted cells)</t>
  </si>
  <si>
    <t>Prior Year Total Aggregate CO2 Emissions Limit</t>
  </si>
  <si>
    <t>(must be greater than total allowance supply)</t>
  </si>
  <si>
    <t>Percent of Next Year's Limit Offered in Auctions 1-4:</t>
  </si>
  <si>
    <t>December 14,</t>
  </si>
  <si>
    <t>March 15,</t>
  </si>
  <si>
    <t>June 14,</t>
  </si>
  <si>
    <t>September 13,</t>
  </si>
  <si>
    <t>December 13,</t>
  </si>
  <si>
    <t>March 7,</t>
  </si>
  <si>
    <t>June 12,</t>
  </si>
  <si>
    <t>September 18,</t>
  </si>
  <si>
    <t>December 11,</t>
  </si>
  <si>
    <t>March,</t>
  </si>
  <si>
    <t>June,</t>
  </si>
  <si>
    <t>September,</t>
  </si>
  <si>
    <t>TBD</t>
  </si>
  <si>
    <t>March 19,</t>
  </si>
  <si>
    <t>June 11,</t>
  </si>
  <si>
    <t>September 10,</t>
  </si>
  <si>
    <t>December 10,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</si>
</sst>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9" fontId="0" fillId="0" borderId="0" xfId="2" applyFont="1"/>
    <xf numFmtId="0" fontId="0" fillId="0" borderId="7" xfId="0" applyBorder="1"/>
    <xf numFmtId="0" fontId="0" fillId="2" borderId="1" xfId="0" applyFill="1" applyBorder="1" applyAlignment="1">
      <alignment horizontal="right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right"/>
    </xf>
    <xf numFmtId="0" fontId="0" fillId="2" borderId="3" xfId="0" applyFill="1" applyBorder="1"/>
    <xf numFmtId="0" fontId="0" fillId="2" borderId="4" xfId="0" applyFill="1" applyBorder="1" applyAlignment="1">
      <alignment horizontal="right"/>
    </xf>
    <xf numFmtId="0" fontId="0" fillId="2" borderId="0" xfId="0" applyFill="1"/>
    <xf numFmtId="164" fontId="0" fillId="2" borderId="0" xfId="0" applyNumberFormat="1" applyFill="1" applyAlignment="1">
      <alignment horizontal="right"/>
    </xf>
    <xf numFmtId="0" fontId="0" fillId="2" borderId="5" xfId="0" applyFill="1" applyBorder="1"/>
    <xf numFmtId="0" fontId="0" fillId="2" borderId="6" xfId="0" applyFill="1" applyBorder="1" applyAlignment="1">
      <alignment horizontal="right"/>
    </xf>
    <xf numFmtId="0" fontId="0" fillId="2" borderId="7" xfId="0" applyFill="1" applyBorder="1"/>
    <xf numFmtId="164" fontId="0" fillId="2" borderId="7" xfId="0" applyNumberFormat="1" applyFill="1" applyBorder="1" applyAlignment="1">
      <alignment horizontal="right"/>
    </xf>
    <xf numFmtId="0" fontId="0" fillId="2" borderId="8" xfId="0" applyFill="1" applyBorder="1"/>
    <xf numFmtId="0" fontId="0" fillId="0" borderId="7" xfId="0" applyBorder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2" xfId="0" quotePrefix="1" applyFill="1" applyBorder="1"/>
    <xf numFmtId="164" fontId="0" fillId="3" borderId="0" xfId="1" applyNumberFormat="1" applyFont="1" applyFill="1" applyAlignment="1">
      <alignment horizontal="right"/>
    </xf>
    <xf numFmtId="164" fontId="0" fillId="3" borderId="0" xfId="1" applyNumberFormat="1" applyFont="1" applyFill="1"/>
    <xf numFmtId="164" fontId="0" fillId="3" borderId="7" xfId="1" applyNumberFormat="1" applyFont="1" applyFill="1" applyBorder="1" applyAlignment="1">
      <alignment horizontal="right"/>
    </xf>
    <xf numFmtId="164" fontId="0" fillId="3" borderId="0" xfId="1" applyNumberFormat="1" applyFont="1" applyFill="1" applyBorder="1" applyAlignment="1">
      <alignment horizontal="right"/>
    </xf>
    <xf numFmtId="164" fontId="0" fillId="3" borderId="0" xfId="1" applyNumberFormat="1" applyFont="1" applyFill="1" applyBorder="1"/>
    <xf numFmtId="164" fontId="0" fillId="3" borderId="2" xfId="1" applyNumberFormat="1" applyFont="1" applyFill="1" applyBorder="1"/>
    <xf numFmtId="164" fontId="0" fillId="4" borderId="0" xfId="1" applyNumberFormat="1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D36C-77A0-4A44-84A7-6394931C72EC}">
  <dimension ref="A1:M21"/>
  <sheetViews>
    <sheetView showGridLines="0" workbookViewId="0">
      <selection activeCell="J6" sqref="J6"/>
    </sheetView>
  </sheetViews>
  <sheetFormatPr defaultColWidth="8.7265625" defaultRowHeight="14.5" x14ac:dyDescent="0.35"/>
  <cols>
    <col min="1" max="1" width="32.26953125" customWidth="1"/>
    <col min="2" max="2" width="5.1796875" customWidth="1"/>
    <col min="3" max="3" width="5.453125" customWidth="1"/>
    <col min="4" max="4" width="1.7265625" customWidth="1"/>
    <col min="5" max="6" width="2" customWidth="1"/>
    <col min="7" max="7" width="10.453125" customWidth="1"/>
    <col min="8" max="8" width="5" customWidth="1"/>
    <col min="9" max="9" width="14.453125" customWidth="1"/>
    <col min="10" max="10" width="8.7265625" customWidth="1"/>
    <col min="11" max="11" width="5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4" spans="1:13" ht="15" thickBot="1" x14ac:dyDescent="0.4">
      <c r="C4" s="7"/>
      <c r="D4" s="7"/>
      <c r="E4" s="7"/>
      <c r="F4" s="7"/>
      <c r="G4" s="21" t="s">
        <v>2</v>
      </c>
      <c r="H4" s="7">
        <v>2022</v>
      </c>
    </row>
    <row r="5" spans="1:13" x14ac:dyDescent="0.35">
      <c r="G5" s="1" t="s">
        <v>3</v>
      </c>
      <c r="H5" s="6">
        <v>0.2</v>
      </c>
    </row>
    <row r="6" spans="1:13" x14ac:dyDescent="0.35">
      <c r="G6" s="1" t="s">
        <v>4</v>
      </c>
      <c r="H6" s="6">
        <v>0.05</v>
      </c>
    </row>
    <row r="8" spans="1:13" ht="15" thickBot="1" x14ac:dyDescent="0.4">
      <c r="C8" s="7">
        <f>H4</f>
        <v>2022</v>
      </c>
      <c r="D8" s="7" t="s">
        <v>5</v>
      </c>
      <c r="E8" s="7"/>
      <c r="F8" s="7"/>
      <c r="G8" s="7"/>
    </row>
    <row r="9" spans="1:13" ht="15" thickBot="1" x14ac:dyDescent="0.4">
      <c r="A9" s="2" t="s">
        <v>6</v>
      </c>
      <c r="B9" s="3" t="s">
        <v>7</v>
      </c>
      <c r="C9" s="33" t="s">
        <v>8</v>
      </c>
      <c r="D9" s="33"/>
      <c r="E9" s="33"/>
      <c r="G9" s="3" t="s">
        <v>9</v>
      </c>
      <c r="H9" s="3" t="s">
        <v>10</v>
      </c>
      <c r="J9" s="3" t="s">
        <v>9</v>
      </c>
      <c r="K9" s="3" t="s">
        <v>10</v>
      </c>
    </row>
    <row r="10" spans="1:13" x14ac:dyDescent="0.35">
      <c r="A10" s="8" t="s">
        <v>11</v>
      </c>
      <c r="B10" s="9">
        <f>C10-1</f>
        <v>2021</v>
      </c>
      <c r="C10" s="9">
        <f>C8</f>
        <v>2022</v>
      </c>
      <c r="D10" s="25" t="s">
        <v>12</v>
      </c>
      <c r="E10" s="10">
        <v>1</v>
      </c>
      <c r="F10" s="9" t="s">
        <v>13</v>
      </c>
      <c r="G10" s="31">
        <f>ROUND(G16*H5,0)</f>
        <v>1611909</v>
      </c>
      <c r="H10" s="22">
        <f>C10</f>
        <v>2022</v>
      </c>
      <c r="I10" s="9" t="s">
        <v>14</v>
      </c>
      <c r="J10" s="11">
        <v>0</v>
      </c>
      <c r="K10" s="22">
        <f>C10+1</f>
        <v>2023</v>
      </c>
      <c r="L10" s="9" t="s">
        <v>15</v>
      </c>
      <c r="M10" s="12"/>
    </row>
    <row r="11" spans="1:13" x14ac:dyDescent="0.35">
      <c r="A11" s="13" t="s">
        <v>16</v>
      </c>
      <c r="B11" s="14">
        <f>C11</f>
        <v>2022</v>
      </c>
      <c r="C11" s="14">
        <f>C8</f>
        <v>2022</v>
      </c>
      <c r="D11" s="14" t="s">
        <v>12</v>
      </c>
      <c r="E11" s="14">
        <v>2</v>
      </c>
      <c r="F11" s="14" t="s">
        <v>13</v>
      </c>
      <c r="G11" s="30">
        <f>G10</f>
        <v>1611909</v>
      </c>
      <c r="H11" s="23">
        <f t="shared" ref="H11:H13" si="0">C11</f>
        <v>2022</v>
      </c>
      <c r="I11" s="14" t="s">
        <v>14</v>
      </c>
      <c r="J11" s="15">
        <v>0</v>
      </c>
      <c r="K11" s="23">
        <f t="shared" ref="K11:K13" si="1">C11+1</f>
        <v>2023</v>
      </c>
      <c r="L11" s="14" t="s">
        <v>15</v>
      </c>
      <c r="M11" s="16"/>
    </row>
    <row r="12" spans="1:13" x14ac:dyDescent="0.35">
      <c r="A12" s="13" t="s">
        <v>17</v>
      </c>
      <c r="B12" s="14">
        <f>C8</f>
        <v>2022</v>
      </c>
      <c r="C12" s="14">
        <f>C8</f>
        <v>2022</v>
      </c>
      <c r="D12" s="14" t="s">
        <v>12</v>
      </c>
      <c r="E12" s="14">
        <v>3</v>
      </c>
      <c r="F12" s="14" t="s">
        <v>13</v>
      </c>
      <c r="G12" s="29">
        <f>IF(G18="TBD","TBD",ROUND((G16-G17-G19-G10-G11)/2,0))</f>
        <v>1203642</v>
      </c>
      <c r="H12" s="23">
        <f t="shared" si="0"/>
        <v>2022</v>
      </c>
      <c r="I12" s="14" t="s">
        <v>14</v>
      </c>
      <c r="J12" s="15">
        <f>ROUND((G16-223876)*H6,0)</f>
        <v>391784</v>
      </c>
      <c r="K12" s="23">
        <f t="shared" si="1"/>
        <v>2023</v>
      </c>
      <c r="L12" s="14" t="s">
        <v>15</v>
      </c>
      <c r="M12" s="16"/>
    </row>
    <row r="13" spans="1:13" ht="15" thickBot="1" x14ac:dyDescent="0.4">
      <c r="A13" s="17" t="s">
        <v>18</v>
      </c>
      <c r="B13" s="18">
        <f>C8</f>
        <v>2022</v>
      </c>
      <c r="C13" s="18">
        <f>C8</f>
        <v>2022</v>
      </c>
      <c r="D13" s="18" t="s">
        <v>12</v>
      </c>
      <c r="E13" s="18">
        <v>4</v>
      </c>
      <c r="F13" s="18" t="s">
        <v>13</v>
      </c>
      <c r="G13" s="28">
        <f>IF(G18="TBD","TBD",G16-G17-G19-G10-G11-G12)</f>
        <v>1203642</v>
      </c>
      <c r="H13" s="24">
        <f t="shared" si="0"/>
        <v>2022</v>
      </c>
      <c r="I13" s="18" t="s">
        <v>14</v>
      </c>
      <c r="J13" s="19">
        <f>J12</f>
        <v>391784</v>
      </c>
      <c r="K13" s="24">
        <f t="shared" si="1"/>
        <v>2023</v>
      </c>
      <c r="L13" s="18" t="s">
        <v>15</v>
      </c>
      <c r="M13" s="20"/>
    </row>
    <row r="15" spans="1:13" ht="15" thickBot="1" x14ac:dyDescent="0.4">
      <c r="C15" s="7">
        <f>C8</f>
        <v>2022</v>
      </c>
      <c r="D15" s="7" t="s">
        <v>19</v>
      </c>
      <c r="E15" s="7"/>
      <c r="F15" s="7"/>
      <c r="G15" s="7"/>
      <c r="H15" s="7"/>
      <c r="I15" s="7"/>
    </row>
    <row r="16" spans="1:13" x14ac:dyDescent="0.35">
      <c r="E16" s="1" t="s">
        <v>20</v>
      </c>
      <c r="F16" t="s">
        <v>13</v>
      </c>
      <c r="G16" s="5">
        <f>8507299-223876*(C8-2020)</f>
        <v>8059547</v>
      </c>
      <c r="H16" t="s">
        <v>21</v>
      </c>
    </row>
    <row r="17" spans="5:10" x14ac:dyDescent="0.35">
      <c r="E17" s="1" t="s">
        <v>22</v>
      </c>
      <c r="F17" t="s">
        <v>13</v>
      </c>
      <c r="G17" s="27">
        <v>0</v>
      </c>
      <c r="H17" t="s">
        <v>15</v>
      </c>
    </row>
    <row r="18" spans="5:10" x14ac:dyDescent="0.35">
      <c r="E18" s="1" t="s">
        <v>23</v>
      </c>
      <c r="F18" t="s">
        <v>13</v>
      </c>
      <c r="G18" s="26">
        <v>2652320</v>
      </c>
      <c r="H18" t="s">
        <v>15</v>
      </c>
      <c r="J18" t="s">
        <v>24</v>
      </c>
    </row>
    <row r="19" spans="5:10" x14ac:dyDescent="0.35">
      <c r="E19" s="1" t="s">
        <v>25</v>
      </c>
      <c r="F19" t="s">
        <v>13</v>
      </c>
      <c r="G19" s="4">
        <f>IF(G18="TBD","TBD",IF((G18-223875)&gt;0,G18-223875,0))</f>
        <v>2428445</v>
      </c>
      <c r="H19" t="s">
        <v>15</v>
      </c>
      <c r="J19" t="s">
        <v>26</v>
      </c>
    </row>
    <row r="20" spans="5:10" x14ac:dyDescent="0.35">
      <c r="E20" s="1" t="s">
        <v>27</v>
      </c>
      <c r="F20" t="s">
        <v>13</v>
      </c>
      <c r="G20" s="32">
        <f>IF(G18="TBD","TBD",G10+G11+G12+G13+G17+G18)</f>
        <v>8283422</v>
      </c>
      <c r="H20" t="s">
        <v>15</v>
      </c>
      <c r="J20" t="s">
        <v>28</v>
      </c>
    </row>
    <row r="21" spans="5:10" x14ac:dyDescent="0.35">
      <c r="E21" s="1" t="s">
        <v>29</v>
      </c>
      <c r="F21" t="s">
        <v>13</v>
      </c>
      <c r="G21" s="5">
        <f>G16+223876</f>
        <v>8283423</v>
      </c>
      <c r="H21" t="s">
        <v>15</v>
      </c>
      <c r="J21" t="s">
        <v>30</v>
      </c>
    </row>
  </sheetData>
  <mergeCells count="1">
    <mergeCell ref="C9:E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DCA2-C759-4C22-99A1-4135C5EC0A52}">
  <dimension ref="A1:M21"/>
  <sheetViews>
    <sheetView showGridLines="0" topLeftCell="A2" workbookViewId="0">
      <selection activeCell="G16" sqref="G16"/>
    </sheetView>
  </sheetViews>
  <sheetFormatPr defaultColWidth="8.7265625" defaultRowHeight="14.5" x14ac:dyDescent="0.35"/>
  <cols>
    <col min="1" max="1" width="32.26953125" customWidth="1"/>
    <col min="2" max="2" width="5.1796875" customWidth="1"/>
    <col min="3" max="3" width="5.453125" customWidth="1"/>
    <col min="4" max="4" width="1.7265625" customWidth="1"/>
    <col min="5" max="6" width="2" customWidth="1"/>
    <col min="7" max="7" width="10.453125" customWidth="1"/>
    <col min="8" max="8" width="5" customWidth="1"/>
    <col min="9" max="9" width="14.453125" customWidth="1"/>
    <col min="10" max="10" width="8.7265625" customWidth="1"/>
    <col min="11" max="11" width="5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4" spans="1:13" ht="15" thickBot="1" x14ac:dyDescent="0.4">
      <c r="C4" s="7"/>
      <c r="D4" s="7"/>
      <c r="E4" s="7"/>
      <c r="F4" s="7"/>
      <c r="G4" s="21" t="s">
        <v>2</v>
      </c>
      <c r="H4" s="7">
        <v>2023</v>
      </c>
    </row>
    <row r="5" spans="1:13" x14ac:dyDescent="0.35">
      <c r="G5" s="1" t="s">
        <v>3</v>
      </c>
      <c r="H5" s="6">
        <v>0.15</v>
      </c>
    </row>
    <row r="6" spans="1:13" x14ac:dyDescent="0.35">
      <c r="G6" s="1" t="s">
        <v>31</v>
      </c>
      <c r="H6" s="6">
        <v>0.05</v>
      </c>
    </row>
    <row r="8" spans="1:13" ht="15" thickBot="1" x14ac:dyDescent="0.4">
      <c r="C8" s="7">
        <f>H4</f>
        <v>2023</v>
      </c>
      <c r="D8" s="7" t="s">
        <v>5</v>
      </c>
      <c r="E8" s="7"/>
      <c r="F8" s="7"/>
      <c r="G8" s="7"/>
    </row>
    <row r="9" spans="1:13" ht="15" thickBot="1" x14ac:dyDescent="0.4">
      <c r="A9" s="2" t="s">
        <v>6</v>
      </c>
      <c r="B9" s="3" t="s">
        <v>7</v>
      </c>
      <c r="C9" s="33" t="s">
        <v>8</v>
      </c>
      <c r="D9" s="33"/>
      <c r="E9" s="33"/>
      <c r="G9" s="3" t="s">
        <v>9</v>
      </c>
      <c r="H9" s="3" t="s">
        <v>10</v>
      </c>
      <c r="J9" s="3" t="s">
        <v>9</v>
      </c>
      <c r="K9" s="3" t="s">
        <v>10</v>
      </c>
    </row>
    <row r="10" spans="1:13" x14ac:dyDescent="0.35">
      <c r="A10" s="8" t="s">
        <v>32</v>
      </c>
      <c r="B10" s="9">
        <f>C10-1</f>
        <v>2022</v>
      </c>
      <c r="C10" s="9">
        <f>C8</f>
        <v>2023</v>
      </c>
      <c r="D10" s="25" t="s">
        <v>12</v>
      </c>
      <c r="E10" s="10">
        <v>1</v>
      </c>
      <c r="F10" s="9" t="s">
        <v>13</v>
      </c>
      <c r="G10" s="31">
        <f>ROUND(G16*H5,0)</f>
        <v>1175351</v>
      </c>
      <c r="H10" s="22">
        <f>C10</f>
        <v>2023</v>
      </c>
      <c r="I10" s="9" t="s">
        <v>14</v>
      </c>
      <c r="J10" s="11">
        <f>ROUND((G16-223876)*H6,0)</f>
        <v>380590</v>
      </c>
      <c r="K10" s="22">
        <f>C10+1</f>
        <v>2024</v>
      </c>
      <c r="L10" s="9" t="s">
        <v>15</v>
      </c>
      <c r="M10" s="12"/>
    </row>
    <row r="11" spans="1:13" x14ac:dyDescent="0.35">
      <c r="A11" s="13" t="s">
        <v>33</v>
      </c>
      <c r="B11" s="14">
        <f>C11</f>
        <v>2023</v>
      </c>
      <c r="C11" s="14">
        <f>C8</f>
        <v>2023</v>
      </c>
      <c r="D11" s="14" t="s">
        <v>12</v>
      </c>
      <c r="E11" s="14">
        <v>2</v>
      </c>
      <c r="F11" s="14" t="s">
        <v>13</v>
      </c>
      <c r="G11" s="30">
        <f>G10</f>
        <v>1175351</v>
      </c>
      <c r="H11" s="23">
        <f t="shared" ref="H11:H13" si="0">C11</f>
        <v>2023</v>
      </c>
      <c r="I11" s="14" t="s">
        <v>14</v>
      </c>
      <c r="J11" s="15">
        <f>J10</f>
        <v>380590</v>
      </c>
      <c r="K11" s="23">
        <f t="shared" ref="K11:K13" si="1">C11+1</f>
        <v>2024</v>
      </c>
      <c r="L11" s="14" t="s">
        <v>15</v>
      </c>
      <c r="M11" s="16"/>
    </row>
    <row r="12" spans="1:13" x14ac:dyDescent="0.35">
      <c r="A12" s="13" t="s">
        <v>34</v>
      </c>
      <c r="B12" s="14">
        <f>C8</f>
        <v>2023</v>
      </c>
      <c r="C12" s="14">
        <f>C8</f>
        <v>2023</v>
      </c>
      <c r="D12" s="14" t="s">
        <v>12</v>
      </c>
      <c r="E12" s="14">
        <v>3</v>
      </c>
      <c r="F12" s="14" t="s">
        <v>13</v>
      </c>
      <c r="G12" s="29">
        <f>IF(G18="TBD","TBD",ROUND((G16-G17-G19-G10-G11)/2,0))</f>
        <v>1536084</v>
      </c>
      <c r="H12" s="23">
        <f t="shared" si="0"/>
        <v>2023</v>
      </c>
      <c r="I12" s="14" t="s">
        <v>14</v>
      </c>
      <c r="J12" s="15">
        <f>J10</f>
        <v>380590</v>
      </c>
      <c r="K12" s="23">
        <f t="shared" si="1"/>
        <v>2024</v>
      </c>
      <c r="L12" s="14" t="s">
        <v>15</v>
      </c>
      <c r="M12" s="16"/>
    </row>
    <row r="13" spans="1:13" ht="15" thickBot="1" x14ac:dyDescent="0.4">
      <c r="A13" s="17" t="s">
        <v>35</v>
      </c>
      <c r="B13" s="18">
        <f>C8</f>
        <v>2023</v>
      </c>
      <c r="C13" s="18">
        <f>C8</f>
        <v>2023</v>
      </c>
      <c r="D13" s="18" t="s">
        <v>12</v>
      </c>
      <c r="E13" s="18">
        <v>4</v>
      </c>
      <c r="F13" s="18" t="s">
        <v>13</v>
      </c>
      <c r="G13" s="28">
        <f>IF(G18="TBD","TBD",G16-G17-G19-G10-G11-G12)</f>
        <v>1536083</v>
      </c>
      <c r="H13" s="24">
        <f t="shared" si="0"/>
        <v>2023</v>
      </c>
      <c r="I13" s="18" t="s">
        <v>14</v>
      </c>
      <c r="J13" s="19">
        <f>J10</f>
        <v>380590</v>
      </c>
      <c r="K13" s="24">
        <f t="shared" si="1"/>
        <v>2024</v>
      </c>
      <c r="L13" s="18" t="s">
        <v>15</v>
      </c>
      <c r="M13" s="20"/>
    </row>
    <row r="15" spans="1:13" ht="15" thickBot="1" x14ac:dyDescent="0.4">
      <c r="C15" s="7">
        <f>C8</f>
        <v>2023</v>
      </c>
      <c r="D15" s="7" t="s">
        <v>19</v>
      </c>
      <c r="E15" s="7"/>
      <c r="F15" s="7"/>
      <c r="G15" s="7"/>
      <c r="H15" s="7"/>
      <c r="I15" s="7"/>
    </row>
    <row r="16" spans="1:13" x14ac:dyDescent="0.35">
      <c r="E16" s="1" t="s">
        <v>20</v>
      </c>
      <c r="F16" t="s">
        <v>13</v>
      </c>
      <c r="G16" s="5">
        <f>8507299-223876*(C8-2020)</f>
        <v>7835671</v>
      </c>
      <c r="H16" t="s">
        <v>21</v>
      </c>
    </row>
    <row r="17" spans="5:10" x14ac:dyDescent="0.35">
      <c r="E17" s="1" t="s">
        <v>22</v>
      </c>
      <c r="F17" t="s">
        <v>13</v>
      </c>
      <c r="G17" s="27">
        <f>SUM('2022'!J10:J13)</f>
        <v>783568</v>
      </c>
      <c r="H17" t="s">
        <v>15</v>
      </c>
    </row>
    <row r="18" spans="5:10" x14ac:dyDescent="0.35">
      <c r="E18" s="1" t="s">
        <v>23</v>
      </c>
      <c r="F18" t="s">
        <v>13</v>
      </c>
      <c r="G18" s="26">
        <v>1853109</v>
      </c>
      <c r="H18" t="s">
        <v>15</v>
      </c>
      <c r="J18" t="s">
        <v>24</v>
      </c>
    </row>
    <row r="19" spans="5:10" x14ac:dyDescent="0.35">
      <c r="E19" s="1" t="s">
        <v>25</v>
      </c>
      <c r="F19" t="s">
        <v>13</v>
      </c>
      <c r="G19" s="4">
        <f>IF(G18="TBD","TBD",IF((G18-223875)&gt;0,G18-223875,0))</f>
        <v>1629234</v>
      </c>
      <c r="H19" t="s">
        <v>15</v>
      </c>
      <c r="J19" t="s">
        <v>26</v>
      </c>
    </row>
    <row r="20" spans="5:10" x14ac:dyDescent="0.35">
      <c r="E20" s="1" t="s">
        <v>27</v>
      </c>
      <c r="F20" t="s">
        <v>13</v>
      </c>
      <c r="G20" s="4">
        <f>IF(G18="TBD","TBD",G10+G11+G12+G13+G17+G18)</f>
        <v>8059546</v>
      </c>
      <c r="H20" t="s">
        <v>15</v>
      </c>
      <c r="J20" t="s">
        <v>28</v>
      </c>
    </row>
    <row r="21" spans="5:10" x14ac:dyDescent="0.35">
      <c r="E21" s="1" t="s">
        <v>29</v>
      </c>
      <c r="F21" t="s">
        <v>13</v>
      </c>
      <c r="G21" s="5">
        <f>G16+223876</f>
        <v>8059547</v>
      </c>
      <c r="H21" t="s">
        <v>15</v>
      </c>
      <c r="J21" t="s">
        <v>30</v>
      </c>
    </row>
  </sheetData>
  <mergeCells count="1">
    <mergeCell ref="C9:E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F087-6283-4E32-9244-4F7190EA0865}">
  <dimension ref="A1:M21"/>
  <sheetViews>
    <sheetView showGridLines="0" workbookViewId="0">
      <selection activeCell="J10" sqref="J10:J13"/>
    </sheetView>
  </sheetViews>
  <sheetFormatPr defaultColWidth="8.7265625" defaultRowHeight="14.5" x14ac:dyDescent="0.35"/>
  <cols>
    <col min="1" max="1" width="32.26953125" customWidth="1"/>
    <col min="2" max="2" width="5.1796875" customWidth="1"/>
    <col min="3" max="3" width="5.453125" customWidth="1"/>
    <col min="4" max="4" width="1.7265625" customWidth="1"/>
    <col min="5" max="6" width="2" customWidth="1"/>
    <col min="7" max="7" width="10.453125" customWidth="1"/>
    <col min="8" max="8" width="5" customWidth="1"/>
    <col min="9" max="9" width="14.453125" customWidth="1"/>
    <col min="10" max="10" width="8.7265625" customWidth="1"/>
    <col min="11" max="11" width="5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4" spans="1:13" ht="15" thickBot="1" x14ac:dyDescent="0.4">
      <c r="C4" s="7"/>
      <c r="D4" s="7"/>
      <c r="E4" s="7"/>
      <c r="F4" s="7"/>
      <c r="G4" s="21" t="s">
        <v>2</v>
      </c>
      <c r="H4" s="7">
        <v>2024</v>
      </c>
    </row>
    <row r="5" spans="1:13" x14ac:dyDescent="0.35">
      <c r="G5" s="1" t="s">
        <v>3</v>
      </c>
      <c r="H5" s="6">
        <v>0.1</v>
      </c>
    </row>
    <row r="6" spans="1:13" x14ac:dyDescent="0.35">
      <c r="G6" s="1" t="s">
        <v>31</v>
      </c>
      <c r="H6" s="6">
        <v>0.05</v>
      </c>
    </row>
    <row r="8" spans="1:13" ht="15" thickBot="1" x14ac:dyDescent="0.4">
      <c r="C8" s="7">
        <f>H4</f>
        <v>2024</v>
      </c>
      <c r="D8" s="7" t="s">
        <v>5</v>
      </c>
      <c r="E8" s="7"/>
      <c r="F8" s="7"/>
      <c r="G8" s="7"/>
    </row>
    <row r="9" spans="1:13" ht="15" thickBot="1" x14ac:dyDescent="0.4">
      <c r="A9" s="2" t="s">
        <v>6</v>
      </c>
      <c r="B9" s="3" t="s">
        <v>7</v>
      </c>
      <c r="C9" s="33" t="s">
        <v>8</v>
      </c>
      <c r="D9" s="33"/>
      <c r="E9" s="33"/>
      <c r="G9" s="3" t="s">
        <v>9</v>
      </c>
      <c r="H9" s="3" t="s">
        <v>10</v>
      </c>
      <c r="J9" s="3" t="s">
        <v>9</v>
      </c>
      <c r="K9" s="3" t="s">
        <v>10</v>
      </c>
    </row>
    <row r="10" spans="1:13" x14ac:dyDescent="0.35">
      <c r="A10" s="8" t="s">
        <v>36</v>
      </c>
      <c r="B10" s="9">
        <f>C10-1</f>
        <v>2023</v>
      </c>
      <c r="C10" s="9">
        <f>C8</f>
        <v>2024</v>
      </c>
      <c r="D10" s="25" t="s">
        <v>12</v>
      </c>
      <c r="E10" s="10">
        <v>1</v>
      </c>
      <c r="F10" s="9" t="s">
        <v>13</v>
      </c>
      <c r="G10" s="31">
        <f>ROUND(G16*H5,0)</f>
        <v>761180</v>
      </c>
      <c r="H10" s="22">
        <f>C10</f>
        <v>2024</v>
      </c>
      <c r="I10" s="9" t="s">
        <v>14</v>
      </c>
      <c r="J10" s="11">
        <f>ROUND((G16-223876)*H6,0)</f>
        <v>369396</v>
      </c>
      <c r="K10" s="22">
        <f>C10+1</f>
        <v>2025</v>
      </c>
      <c r="L10" s="9" t="s">
        <v>15</v>
      </c>
      <c r="M10" s="12"/>
    </row>
    <row r="11" spans="1:13" x14ac:dyDescent="0.35">
      <c r="A11" s="13" t="s">
        <v>37</v>
      </c>
      <c r="B11" s="14">
        <f>C11</f>
        <v>2024</v>
      </c>
      <c r="C11" s="14">
        <f>C8</f>
        <v>2024</v>
      </c>
      <c r="D11" s="14" t="s">
        <v>12</v>
      </c>
      <c r="E11" s="14">
        <v>2</v>
      </c>
      <c r="F11" s="14" t="s">
        <v>13</v>
      </c>
      <c r="G11" s="30">
        <f>G10</f>
        <v>761180</v>
      </c>
      <c r="H11" s="23">
        <f t="shared" ref="H11:H13" si="0">C11</f>
        <v>2024</v>
      </c>
      <c r="I11" s="14" t="s">
        <v>14</v>
      </c>
      <c r="J11" s="15">
        <f>J10</f>
        <v>369396</v>
      </c>
      <c r="K11" s="23">
        <f t="shared" ref="K11:K13" si="1">C11+1</f>
        <v>2025</v>
      </c>
      <c r="L11" s="14" t="s">
        <v>15</v>
      </c>
      <c r="M11" s="16"/>
    </row>
    <row r="12" spans="1:13" x14ac:dyDescent="0.35">
      <c r="A12" s="13" t="s">
        <v>38</v>
      </c>
      <c r="B12" s="14">
        <f>C8</f>
        <v>2024</v>
      </c>
      <c r="C12" s="14">
        <f>C8</f>
        <v>2024</v>
      </c>
      <c r="D12" s="14" t="s">
        <v>12</v>
      </c>
      <c r="E12" s="14">
        <v>3</v>
      </c>
      <c r="F12" s="14" t="s">
        <v>13</v>
      </c>
      <c r="G12" s="29">
        <f>IF(G18="TBD","TBD",ROUND((G16-G17-G19-G10-G11)/2,0))</f>
        <v>1178160</v>
      </c>
      <c r="H12" s="23">
        <f t="shared" si="0"/>
        <v>2024</v>
      </c>
      <c r="I12" s="14" t="s">
        <v>14</v>
      </c>
      <c r="J12" s="15">
        <f>J10</f>
        <v>369396</v>
      </c>
      <c r="K12" s="23">
        <f t="shared" si="1"/>
        <v>2025</v>
      </c>
      <c r="L12" s="14" t="s">
        <v>15</v>
      </c>
      <c r="M12" s="16"/>
    </row>
    <row r="13" spans="1:13" ht="15" thickBot="1" x14ac:dyDescent="0.4">
      <c r="A13" s="17" t="s">
        <v>39</v>
      </c>
      <c r="B13" s="18">
        <f>C8</f>
        <v>2024</v>
      </c>
      <c r="C13" s="18">
        <f>C8</f>
        <v>2024</v>
      </c>
      <c r="D13" s="18" t="s">
        <v>12</v>
      </c>
      <c r="E13" s="18">
        <v>4</v>
      </c>
      <c r="F13" s="18" t="s">
        <v>13</v>
      </c>
      <c r="G13" s="28">
        <f>IF(G18="TBD","TBD",G16-G17-G19-G10-G11-G12)</f>
        <v>1178159</v>
      </c>
      <c r="H13" s="24">
        <f t="shared" si="0"/>
        <v>2024</v>
      </c>
      <c r="I13" s="18" t="s">
        <v>14</v>
      </c>
      <c r="J13" s="19">
        <f>J10</f>
        <v>369396</v>
      </c>
      <c r="K13" s="24">
        <f t="shared" si="1"/>
        <v>2025</v>
      </c>
      <c r="L13" s="18" t="s">
        <v>15</v>
      </c>
      <c r="M13" s="20"/>
    </row>
    <row r="15" spans="1:13" ht="15" thickBot="1" x14ac:dyDescent="0.4">
      <c r="C15" s="7">
        <f>C8</f>
        <v>2024</v>
      </c>
      <c r="D15" s="7" t="s">
        <v>19</v>
      </c>
      <c r="E15" s="7"/>
      <c r="F15" s="7"/>
      <c r="G15" s="7"/>
      <c r="H15" s="7"/>
      <c r="I15" s="7"/>
    </row>
    <row r="16" spans="1:13" x14ac:dyDescent="0.35">
      <c r="E16" s="1" t="s">
        <v>20</v>
      </c>
      <c r="F16" t="s">
        <v>13</v>
      </c>
      <c r="G16" s="5">
        <f>8507299-223876*(C8-2020)</f>
        <v>7611795</v>
      </c>
      <c r="H16" t="s">
        <v>21</v>
      </c>
    </row>
    <row r="17" spans="5:10" x14ac:dyDescent="0.35">
      <c r="E17" s="1" t="s">
        <v>22</v>
      </c>
      <c r="F17" t="s">
        <v>13</v>
      </c>
      <c r="G17" s="27">
        <f>SUM('2023'!J10:J13)</f>
        <v>1522360</v>
      </c>
      <c r="H17" t="s">
        <v>15</v>
      </c>
    </row>
    <row r="18" spans="5:10" x14ac:dyDescent="0.35">
      <c r="E18" s="1" t="s">
        <v>23</v>
      </c>
      <c r="F18" t="s">
        <v>13</v>
      </c>
      <c r="G18" s="26">
        <v>2434631</v>
      </c>
      <c r="H18" t="s">
        <v>15</v>
      </c>
      <c r="J18" t="s">
        <v>24</v>
      </c>
    </row>
    <row r="19" spans="5:10" x14ac:dyDescent="0.35">
      <c r="E19" s="1" t="s">
        <v>25</v>
      </c>
      <c r="F19" t="s">
        <v>13</v>
      </c>
      <c r="G19" s="4">
        <f>IF(G18="TBD","TBD",IF((G18-223875)&gt;0,G18-223875,0))</f>
        <v>2210756</v>
      </c>
      <c r="H19" t="s">
        <v>15</v>
      </c>
      <c r="J19" t="s">
        <v>26</v>
      </c>
    </row>
    <row r="20" spans="5:10" x14ac:dyDescent="0.35">
      <c r="E20" s="1" t="s">
        <v>27</v>
      </c>
      <c r="F20" t="s">
        <v>13</v>
      </c>
      <c r="G20" s="4">
        <f>IF(G18="TBD","TBD",G10+G11+G12+G13+G17+G18)</f>
        <v>7835670</v>
      </c>
      <c r="H20" t="s">
        <v>15</v>
      </c>
      <c r="J20" t="s">
        <v>28</v>
      </c>
    </row>
    <row r="21" spans="5:10" x14ac:dyDescent="0.35">
      <c r="E21" s="1" t="s">
        <v>29</v>
      </c>
      <c r="F21" t="s">
        <v>13</v>
      </c>
      <c r="G21" s="5">
        <f>G16+223876</f>
        <v>7835671</v>
      </c>
      <c r="H21" t="s">
        <v>15</v>
      </c>
      <c r="J21" t="s">
        <v>30</v>
      </c>
    </row>
  </sheetData>
  <mergeCells count="1">
    <mergeCell ref="C9:E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9838-4B51-4B9C-8829-45734037F1BF}">
  <dimension ref="A1:M21"/>
  <sheetViews>
    <sheetView showGridLines="0" tabSelected="1" topLeftCell="A4" workbookViewId="0">
      <selection activeCell="A13" sqref="A13"/>
    </sheetView>
  </sheetViews>
  <sheetFormatPr defaultColWidth="8.7265625" defaultRowHeight="14.5" x14ac:dyDescent="0.35"/>
  <cols>
    <col min="1" max="1" width="32.26953125" customWidth="1"/>
    <col min="2" max="2" width="5.1796875" customWidth="1"/>
    <col min="3" max="3" width="5.453125" customWidth="1"/>
    <col min="4" max="4" width="1.7265625" customWidth="1"/>
    <col min="5" max="6" width="2" customWidth="1"/>
    <col min="7" max="7" width="10.453125" customWidth="1"/>
    <col min="8" max="8" width="5" customWidth="1"/>
    <col min="9" max="9" width="14.453125" customWidth="1"/>
    <col min="10" max="10" width="8.7265625" customWidth="1"/>
    <col min="11" max="11" width="5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4" spans="1:13" ht="15" thickBot="1" x14ac:dyDescent="0.4">
      <c r="C4" s="7"/>
      <c r="D4" s="7"/>
      <c r="E4" s="7"/>
      <c r="F4" s="7"/>
      <c r="G4" s="21" t="s">
        <v>2</v>
      </c>
      <c r="H4" s="7">
        <v>2025</v>
      </c>
    </row>
    <row r="5" spans="1:13" x14ac:dyDescent="0.35">
      <c r="G5" s="1" t="s">
        <v>3</v>
      </c>
      <c r="H5" s="6">
        <v>0.1</v>
      </c>
    </row>
    <row r="6" spans="1:13" x14ac:dyDescent="0.35">
      <c r="G6" s="1" t="s">
        <v>31</v>
      </c>
      <c r="H6" s="6">
        <v>0.05</v>
      </c>
    </row>
    <row r="8" spans="1:13" ht="15" thickBot="1" x14ac:dyDescent="0.4">
      <c r="C8" s="7">
        <f>H4</f>
        <v>2025</v>
      </c>
      <c r="D8" s="7" t="s">
        <v>5</v>
      </c>
      <c r="E8" s="7"/>
      <c r="F8" s="7"/>
      <c r="G8" s="7"/>
    </row>
    <row r="9" spans="1:13" ht="15" thickBot="1" x14ac:dyDescent="0.4">
      <c r="A9" s="2" t="s">
        <v>6</v>
      </c>
      <c r="B9" s="3" t="s">
        <v>7</v>
      </c>
      <c r="C9" s="33" t="s">
        <v>8</v>
      </c>
      <c r="D9" s="33"/>
      <c r="E9" s="33"/>
      <c r="G9" s="3" t="s">
        <v>9</v>
      </c>
      <c r="H9" s="3" t="s">
        <v>10</v>
      </c>
      <c r="J9" s="3" t="s">
        <v>9</v>
      </c>
      <c r="K9" s="3" t="s">
        <v>10</v>
      </c>
    </row>
    <row r="10" spans="1:13" x14ac:dyDescent="0.35">
      <c r="A10" s="8" t="s">
        <v>40</v>
      </c>
      <c r="B10" s="9">
        <f>C10-1</f>
        <v>2024</v>
      </c>
      <c r="C10" s="9">
        <f>C8</f>
        <v>2025</v>
      </c>
      <c r="D10" s="25" t="s">
        <v>12</v>
      </c>
      <c r="E10" s="10">
        <v>1</v>
      </c>
      <c r="F10" s="9" t="s">
        <v>13</v>
      </c>
      <c r="G10" s="31">
        <f>ROUND(G16*H5,0)</f>
        <v>738792</v>
      </c>
      <c r="H10" s="22">
        <f>C10</f>
        <v>2025</v>
      </c>
      <c r="I10" s="9" t="s">
        <v>14</v>
      </c>
      <c r="J10" s="11">
        <f>ROUND((G16-223876)*H6,0)</f>
        <v>358202</v>
      </c>
      <c r="K10" s="22">
        <f>C10+1</f>
        <v>2026</v>
      </c>
      <c r="L10" s="9" t="s">
        <v>15</v>
      </c>
      <c r="M10" s="12"/>
    </row>
    <row r="11" spans="1:13" x14ac:dyDescent="0.35">
      <c r="A11" s="13" t="s">
        <v>45</v>
      </c>
      <c r="B11" s="14">
        <f>C11</f>
        <v>2025</v>
      </c>
      <c r="C11" s="14">
        <f>C8</f>
        <v>2025</v>
      </c>
      <c r="D11" s="14" t="s">
        <v>12</v>
      </c>
      <c r="E11" s="14">
        <v>2</v>
      </c>
      <c r="F11" s="14" t="s">
        <v>13</v>
      </c>
      <c r="G11" s="30">
        <f>G10</f>
        <v>738792</v>
      </c>
      <c r="H11" s="23">
        <f t="shared" ref="H11:H13" si="0">C11</f>
        <v>2025</v>
      </c>
      <c r="I11" s="14" t="s">
        <v>14</v>
      </c>
      <c r="J11" s="15">
        <f>J10</f>
        <v>358202</v>
      </c>
      <c r="K11" s="23">
        <f t="shared" ref="K11:K13" si="1">C11+1</f>
        <v>2026</v>
      </c>
      <c r="L11" s="14" t="s">
        <v>15</v>
      </c>
      <c r="M11" s="16"/>
    </row>
    <row r="12" spans="1:13" x14ac:dyDescent="0.35">
      <c r="A12" s="13" t="s">
        <v>46</v>
      </c>
      <c r="B12" s="14">
        <f>C8</f>
        <v>2025</v>
      </c>
      <c r="C12" s="14">
        <f>C8</f>
        <v>2025</v>
      </c>
      <c r="D12" s="14" t="s">
        <v>12</v>
      </c>
      <c r="E12" s="14">
        <v>3</v>
      </c>
      <c r="F12" s="14" t="s">
        <v>13</v>
      </c>
      <c r="G12" s="29">
        <f>IF(G18="TBD","TBD",ROUND((G16-G17-G19-G10-G11)/2,0))</f>
        <v>1550944</v>
      </c>
      <c r="H12" s="23">
        <f t="shared" si="0"/>
        <v>2025</v>
      </c>
      <c r="I12" s="14" t="s">
        <v>14</v>
      </c>
      <c r="J12" s="15">
        <f>J10</f>
        <v>358202</v>
      </c>
      <c r="K12" s="23">
        <f t="shared" si="1"/>
        <v>2026</v>
      </c>
      <c r="L12" s="14" t="s">
        <v>15</v>
      </c>
      <c r="M12" s="16"/>
    </row>
    <row r="13" spans="1:13" ht="15" thickBot="1" x14ac:dyDescent="0.4">
      <c r="A13" s="17" t="s">
        <v>47</v>
      </c>
      <c r="B13" s="18">
        <f>C8</f>
        <v>2025</v>
      </c>
      <c r="C13" s="18">
        <f>C8</f>
        <v>2025</v>
      </c>
      <c r="D13" s="18" t="s">
        <v>12</v>
      </c>
      <c r="E13" s="18">
        <v>4</v>
      </c>
      <c r="F13" s="18" t="s">
        <v>13</v>
      </c>
      <c r="G13" s="28">
        <f>IF(G18="TBD","TBD",G16-G17-G19-G10-G11-G12)</f>
        <v>1550943</v>
      </c>
      <c r="H13" s="24">
        <f t="shared" si="0"/>
        <v>2025</v>
      </c>
      <c r="I13" s="18" t="s">
        <v>14</v>
      </c>
      <c r="J13" s="19">
        <f>J10</f>
        <v>358202</v>
      </c>
      <c r="K13" s="24">
        <f t="shared" si="1"/>
        <v>2026</v>
      </c>
      <c r="L13" s="18" t="s">
        <v>15</v>
      </c>
      <c r="M13" s="20"/>
    </row>
    <row r="15" spans="1:13" ht="15" thickBot="1" x14ac:dyDescent="0.4">
      <c r="C15" s="7">
        <f>C8</f>
        <v>2025</v>
      </c>
      <c r="D15" s="7" t="s">
        <v>19</v>
      </c>
      <c r="E15" s="7"/>
      <c r="F15" s="7"/>
      <c r="G15" s="7"/>
      <c r="H15" s="7"/>
      <c r="I15" s="7"/>
    </row>
    <row r="16" spans="1:13" x14ac:dyDescent="0.35">
      <c r="E16" s="1" t="s">
        <v>20</v>
      </c>
      <c r="F16" t="s">
        <v>13</v>
      </c>
      <c r="G16" s="5">
        <f>8507299-223876*(C8-2020)</f>
        <v>7387919</v>
      </c>
      <c r="H16" t="s">
        <v>21</v>
      </c>
    </row>
    <row r="17" spans="5:10" x14ac:dyDescent="0.35">
      <c r="E17" s="1" t="s">
        <v>22</v>
      </c>
      <c r="F17" t="s">
        <v>13</v>
      </c>
      <c r="G17" s="27">
        <f>SUM('2024'!J10:J13)</f>
        <v>1477584</v>
      </c>
      <c r="H17" t="s">
        <v>15</v>
      </c>
    </row>
    <row r="18" spans="5:10" x14ac:dyDescent="0.35">
      <c r="E18" s="1" t="s">
        <v>23</v>
      </c>
      <c r="F18" t="s">
        <v>13</v>
      </c>
      <c r="G18" s="26">
        <v>1554739</v>
      </c>
      <c r="H18" t="s">
        <v>15</v>
      </c>
      <c r="J18" t="s">
        <v>24</v>
      </c>
    </row>
    <row r="19" spans="5:10" x14ac:dyDescent="0.35">
      <c r="E19" s="1" t="s">
        <v>25</v>
      </c>
      <c r="F19" t="s">
        <v>13</v>
      </c>
      <c r="G19" s="4">
        <f>IF(G18="TBD","TBD",IF((G18-223875)&gt;0,G18-223875,0))</f>
        <v>1330864</v>
      </c>
      <c r="H19" t="s">
        <v>15</v>
      </c>
      <c r="J19" t="s">
        <v>26</v>
      </c>
    </row>
    <row r="20" spans="5:10" x14ac:dyDescent="0.35">
      <c r="E20" s="1" t="s">
        <v>27</v>
      </c>
      <c r="F20" t="s">
        <v>13</v>
      </c>
      <c r="G20" s="4">
        <f>IF(G18="TBD","TBD",G10+G11+G12+G13+G17+G18)</f>
        <v>7611794</v>
      </c>
      <c r="H20" t="s">
        <v>15</v>
      </c>
      <c r="J20" t="s">
        <v>28</v>
      </c>
    </row>
    <row r="21" spans="5:10" x14ac:dyDescent="0.35">
      <c r="E21" s="1" t="s">
        <v>29</v>
      </c>
      <c r="F21" t="s">
        <v>13</v>
      </c>
      <c r="G21" s="5">
        <f>G16+223876</f>
        <v>7611795</v>
      </c>
      <c r="H21" t="s">
        <v>15</v>
      </c>
      <c r="J21" t="s">
        <v>30</v>
      </c>
    </row>
  </sheetData>
  <mergeCells count="1">
    <mergeCell ref="C9:E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8E26-68CF-4CFB-B93E-58EB67CA18E6}">
  <dimension ref="A1:M21"/>
  <sheetViews>
    <sheetView showGridLines="0" workbookViewId="0">
      <selection activeCell="A10" sqref="A10"/>
    </sheetView>
  </sheetViews>
  <sheetFormatPr defaultColWidth="8.7265625" defaultRowHeight="14.5" x14ac:dyDescent="0.35"/>
  <cols>
    <col min="1" max="1" width="32.26953125" customWidth="1"/>
    <col min="2" max="2" width="5.1796875" customWidth="1"/>
    <col min="3" max="3" width="5.453125" customWidth="1"/>
    <col min="4" max="4" width="1.7265625" customWidth="1"/>
    <col min="5" max="6" width="2" customWidth="1"/>
    <col min="7" max="7" width="10.453125" customWidth="1"/>
    <col min="8" max="8" width="5" customWidth="1"/>
    <col min="9" max="9" width="14.453125" customWidth="1"/>
    <col min="10" max="10" width="8.7265625" customWidth="1"/>
    <col min="11" max="11" width="5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4" spans="1:13" ht="15" thickBot="1" x14ac:dyDescent="0.4">
      <c r="C4" s="7"/>
      <c r="D4" s="7"/>
      <c r="E4" s="7"/>
      <c r="F4" s="7"/>
      <c r="G4" s="21" t="s">
        <v>2</v>
      </c>
      <c r="H4" s="7">
        <v>2026</v>
      </c>
    </row>
    <row r="5" spans="1:13" x14ac:dyDescent="0.35">
      <c r="G5" s="1" t="s">
        <v>3</v>
      </c>
      <c r="H5" s="6">
        <v>0.1</v>
      </c>
    </row>
    <row r="6" spans="1:13" x14ac:dyDescent="0.35">
      <c r="G6" s="1" t="s">
        <v>31</v>
      </c>
      <c r="H6" s="6">
        <v>0.05</v>
      </c>
    </row>
    <row r="8" spans="1:13" ht="15" thickBot="1" x14ac:dyDescent="0.4">
      <c r="C8" s="7">
        <f>H4</f>
        <v>2026</v>
      </c>
      <c r="D8" s="7" t="s">
        <v>5</v>
      </c>
      <c r="E8" s="7"/>
      <c r="F8" s="7"/>
      <c r="G8" s="7"/>
    </row>
    <row r="9" spans="1:13" ht="15" thickBot="1" x14ac:dyDescent="0.4">
      <c r="A9" s="2" t="s">
        <v>6</v>
      </c>
      <c r="B9" s="3" t="s">
        <v>7</v>
      </c>
      <c r="C9" s="33" t="s">
        <v>8</v>
      </c>
      <c r="D9" s="33"/>
      <c r="E9" s="33"/>
      <c r="G9" s="3" t="s">
        <v>9</v>
      </c>
      <c r="H9" s="3" t="s">
        <v>10</v>
      </c>
      <c r="J9" s="3" t="s">
        <v>9</v>
      </c>
      <c r="K9" s="3" t="s">
        <v>10</v>
      </c>
    </row>
    <row r="10" spans="1:13" x14ac:dyDescent="0.35">
      <c r="A10" s="8" t="s">
        <v>48</v>
      </c>
      <c r="B10" s="9">
        <f>C10-1</f>
        <v>2025</v>
      </c>
      <c r="C10" s="9">
        <f>C8</f>
        <v>2026</v>
      </c>
      <c r="D10" s="25" t="s">
        <v>12</v>
      </c>
      <c r="E10" s="10">
        <v>1</v>
      </c>
      <c r="F10" s="9" t="s">
        <v>13</v>
      </c>
      <c r="G10" s="31">
        <f>ROUND(G16*H5,0)</f>
        <v>716404</v>
      </c>
      <c r="H10" s="22">
        <f>C10</f>
        <v>2026</v>
      </c>
      <c r="I10" s="9" t="s">
        <v>14</v>
      </c>
      <c r="J10" s="11">
        <f>ROUND((G16-223876)*H6,0)</f>
        <v>347008</v>
      </c>
      <c r="K10" s="22">
        <f>C10+1</f>
        <v>2027</v>
      </c>
      <c r="L10" s="9" t="s">
        <v>15</v>
      </c>
      <c r="M10" s="12"/>
    </row>
    <row r="11" spans="1:13" x14ac:dyDescent="0.35">
      <c r="A11" s="13" t="s">
        <v>41</v>
      </c>
      <c r="B11" s="14">
        <f>C11</f>
        <v>2026</v>
      </c>
      <c r="C11" s="14">
        <f>C8</f>
        <v>2026</v>
      </c>
      <c r="D11" s="14" t="s">
        <v>12</v>
      </c>
      <c r="E11" s="14">
        <v>2</v>
      </c>
      <c r="F11" s="14" t="s">
        <v>13</v>
      </c>
      <c r="G11" s="30">
        <f>G10</f>
        <v>716404</v>
      </c>
      <c r="H11" s="23">
        <f t="shared" ref="H11:H13" si="0">C11</f>
        <v>2026</v>
      </c>
      <c r="I11" s="14" t="s">
        <v>14</v>
      </c>
      <c r="J11" s="15">
        <f>J10</f>
        <v>347008</v>
      </c>
      <c r="K11" s="23">
        <f t="shared" ref="K11:K13" si="1">C11+1</f>
        <v>2027</v>
      </c>
      <c r="L11" s="14" t="s">
        <v>15</v>
      </c>
      <c r="M11" s="16"/>
    </row>
    <row r="12" spans="1:13" x14ac:dyDescent="0.35">
      <c r="A12" s="13" t="s">
        <v>42</v>
      </c>
      <c r="B12" s="14">
        <f>C8</f>
        <v>2026</v>
      </c>
      <c r="C12" s="14">
        <f>C8</f>
        <v>2026</v>
      </c>
      <c r="D12" s="14" t="s">
        <v>12</v>
      </c>
      <c r="E12" s="14">
        <v>3</v>
      </c>
      <c r="F12" s="14" t="s">
        <v>13</v>
      </c>
      <c r="G12" s="29" t="str">
        <f>IF(G18="TBD","TBD",ROUND((G16-G17-G19-G10-G11)/2,0))</f>
        <v>TBD</v>
      </c>
      <c r="H12" s="23">
        <f t="shared" si="0"/>
        <v>2026</v>
      </c>
      <c r="I12" s="14" t="s">
        <v>14</v>
      </c>
      <c r="J12" s="15">
        <f>J10</f>
        <v>347008</v>
      </c>
      <c r="K12" s="23">
        <f t="shared" si="1"/>
        <v>2027</v>
      </c>
      <c r="L12" s="14" t="s">
        <v>15</v>
      </c>
      <c r="M12" s="16"/>
    </row>
    <row r="13" spans="1:13" ht="15" thickBot="1" x14ac:dyDescent="0.4">
      <c r="A13" s="17" t="s">
        <v>43</v>
      </c>
      <c r="B13" s="18">
        <f>C8</f>
        <v>2026</v>
      </c>
      <c r="C13" s="18">
        <f>C8</f>
        <v>2026</v>
      </c>
      <c r="D13" s="18" t="s">
        <v>12</v>
      </c>
      <c r="E13" s="18">
        <v>4</v>
      </c>
      <c r="F13" s="18" t="s">
        <v>13</v>
      </c>
      <c r="G13" s="28" t="str">
        <f>IF(G18="TBD","TBD",G16-G17-G19-G10-G11-G12)</f>
        <v>TBD</v>
      </c>
      <c r="H13" s="24">
        <f t="shared" si="0"/>
        <v>2026</v>
      </c>
      <c r="I13" s="18" t="s">
        <v>14</v>
      </c>
      <c r="J13" s="19">
        <f>J10</f>
        <v>347008</v>
      </c>
      <c r="K13" s="24">
        <f t="shared" si="1"/>
        <v>2027</v>
      </c>
      <c r="L13" s="18" t="s">
        <v>15</v>
      </c>
      <c r="M13" s="20"/>
    </row>
    <row r="15" spans="1:13" ht="15" thickBot="1" x14ac:dyDescent="0.4">
      <c r="C15" s="7">
        <f>C8</f>
        <v>2026</v>
      </c>
      <c r="D15" s="7" t="s">
        <v>19</v>
      </c>
      <c r="E15" s="7"/>
      <c r="F15" s="7"/>
      <c r="G15" s="7"/>
      <c r="H15" s="7"/>
      <c r="I15" s="7"/>
    </row>
    <row r="16" spans="1:13" x14ac:dyDescent="0.35">
      <c r="E16" s="1" t="s">
        <v>20</v>
      </c>
      <c r="F16" t="s">
        <v>13</v>
      </c>
      <c r="G16" s="5">
        <f>8507299-223876*(C8-2020)</f>
        <v>7164043</v>
      </c>
      <c r="H16" t="s">
        <v>21</v>
      </c>
    </row>
    <row r="17" spans="5:10" x14ac:dyDescent="0.35">
      <c r="E17" s="1" t="s">
        <v>22</v>
      </c>
      <c r="F17" t="s">
        <v>13</v>
      </c>
      <c r="G17" s="27">
        <f>SUM('2025'!J10:J13)</f>
        <v>1432808</v>
      </c>
      <c r="H17" t="s">
        <v>15</v>
      </c>
    </row>
    <row r="18" spans="5:10" x14ac:dyDescent="0.35">
      <c r="E18" s="1" t="s">
        <v>23</v>
      </c>
      <c r="F18" t="s">
        <v>13</v>
      </c>
      <c r="G18" s="26" t="s">
        <v>44</v>
      </c>
      <c r="H18" t="s">
        <v>15</v>
      </c>
      <c r="J18" t="s">
        <v>24</v>
      </c>
    </row>
    <row r="19" spans="5:10" x14ac:dyDescent="0.35">
      <c r="E19" s="1" t="s">
        <v>25</v>
      </c>
      <c r="F19" t="s">
        <v>13</v>
      </c>
      <c r="G19" s="4" t="str">
        <f>IF(G18="TBD","TBD",IF((G18-223875)&gt;0,G18-223875,0))</f>
        <v>TBD</v>
      </c>
      <c r="H19" t="s">
        <v>15</v>
      </c>
      <c r="J19" t="s">
        <v>26</v>
      </c>
    </row>
    <row r="20" spans="5:10" x14ac:dyDescent="0.35">
      <c r="E20" s="1" t="s">
        <v>27</v>
      </c>
      <c r="F20" t="s">
        <v>13</v>
      </c>
      <c r="G20" s="4" t="str">
        <f>IF(G18="TBD","TBD",G10+G11+G12+G13+G17+G18)</f>
        <v>TBD</v>
      </c>
      <c r="H20" t="s">
        <v>15</v>
      </c>
      <c r="J20" t="s">
        <v>28</v>
      </c>
    </row>
    <row r="21" spans="5:10" x14ac:dyDescent="0.35">
      <c r="E21" s="1" t="s">
        <v>29</v>
      </c>
      <c r="F21" t="s">
        <v>13</v>
      </c>
      <c r="G21" s="5">
        <f>G16+223876</f>
        <v>7387919</v>
      </c>
      <c r="H21" t="s">
        <v>15</v>
      </c>
      <c r="J21" t="s">
        <v>30</v>
      </c>
    </row>
  </sheetData>
  <mergeCells count="1">
    <mergeCell ref="C9:E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8B8951B32C44A8ABF1C6EE626DEA0" ma:contentTypeVersion="14" ma:contentTypeDescription="Create a new document." ma:contentTypeScope="" ma:versionID="078e52ae4ed6e1aabcf4aeb7f9e65c27">
  <xsd:schema xmlns:xsd="http://www.w3.org/2001/XMLSchema" xmlns:xs="http://www.w3.org/2001/XMLSchema" xmlns:p="http://schemas.microsoft.com/office/2006/metadata/properties" xmlns:ns2="97c241f7-0c18-4008-861b-5a676167a037" xmlns:ns3="7b83dbe2-6fd2-449a-a932-0d75829bf641" targetNamespace="http://schemas.microsoft.com/office/2006/metadata/properties" ma:root="true" ma:fieldsID="87bf0f08dd779972a752b877047b1cad" ns2:_="" ns3:_="">
    <xsd:import namespace="97c241f7-0c18-4008-861b-5a676167a037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41f7-0c18-4008-861b-5a676167a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1eecbb-5736-4a27-a3d9-8cd4d931ca3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241f7-0c18-4008-861b-5a676167a037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Props1.xml><?xml version="1.0" encoding="utf-8"?>
<ds:datastoreItem xmlns:ds="http://schemas.openxmlformats.org/officeDocument/2006/customXml" ds:itemID="{BEDD6E56-85BC-4ECF-ACD7-C0DF6BFD2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241f7-0c18-4008-861b-5a676167a037"/>
    <ds:schemaRef ds:uri="7b83dbe2-6fd2-449a-a932-0d75829b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2A9C8B-252F-41DA-B03B-17DE3657B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C4AE33-9BAA-463C-AA26-FF5B3B272DD1}">
  <ds:schemaRefs>
    <ds:schemaRef ds:uri="http://schemas.microsoft.com/office/2006/metadata/properties"/>
    <ds:schemaRef ds:uri="http://schemas.microsoft.com/office/infopath/2007/PartnerControls"/>
    <ds:schemaRef ds:uri="97c241f7-0c18-4008-861b-5a676167a037"/>
    <ds:schemaRef ds:uri="7b83dbe2-6fd2-449a-a932-0d75829bf6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Space, William (DEP)</dc:creator>
  <cp:keywords/>
  <dc:description/>
  <cp:lastModifiedBy>Pedrosa, Maria Camila (DEP)</cp:lastModifiedBy>
  <cp:revision/>
  <dcterms:created xsi:type="dcterms:W3CDTF">2021-10-08T19:56:16Z</dcterms:created>
  <dcterms:modified xsi:type="dcterms:W3CDTF">2025-03-25T17:25:32Z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0x0101003F48B8951B32C44A8ABF1C6EE626DEA0</vt:lpwstr>
  </property>
  <property fmtid="{D5CDD505-2E9C-101B-9397-08002B2CF9AE}" pid="3" name="MediaServiceImageTags">
    <vt:lpwstr/>
  </property>
</Properties>
</file>