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45" yWindow="15" windowWidth="18750" windowHeight="11430"/>
  </bookViews>
  <sheets>
    <sheet name="sheet 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5" i="1" l="1"/>
  <c r="N44" i="1"/>
  <c r="Q8" i="1" l="1"/>
  <c r="O8" i="1"/>
  <c r="O9" i="1"/>
  <c r="O39" i="1"/>
  <c r="O38" i="1"/>
  <c r="Q38" i="1"/>
  <c r="Q28" i="1"/>
  <c r="O29" i="1"/>
  <c r="O28" i="1"/>
  <c r="O19" i="1"/>
  <c r="O18" i="1"/>
  <c r="Q18" i="1"/>
  <c r="L45" i="1"/>
  <c r="L44" i="1"/>
  <c r="G76" i="1" l="1"/>
  <c r="F76" i="1"/>
  <c r="F74" i="1"/>
  <c r="F72" i="1"/>
  <c r="F70" i="1"/>
  <c r="F68" i="1"/>
  <c r="H62" i="1" l="1"/>
  <c r="D62" i="1"/>
  <c r="H54" i="1"/>
  <c r="H55" i="1"/>
  <c r="H56" i="1"/>
  <c r="H57" i="1"/>
  <c r="H58" i="1"/>
  <c r="H59" i="1"/>
  <c r="H60" i="1"/>
  <c r="H61" i="1"/>
  <c r="H53" i="1"/>
  <c r="D54" i="1"/>
  <c r="D55" i="1"/>
  <c r="D56" i="1"/>
  <c r="D57" i="1"/>
  <c r="D58" i="1"/>
  <c r="D59" i="1"/>
  <c r="D60" i="1"/>
  <c r="D61" i="1"/>
  <c r="D53" i="1"/>
  <c r="G62" i="1"/>
  <c r="G54" i="1"/>
  <c r="G55" i="1"/>
  <c r="G56" i="1"/>
  <c r="G57" i="1"/>
  <c r="G58" i="1"/>
  <c r="G59" i="1"/>
  <c r="G60" i="1"/>
  <c r="G61" i="1"/>
  <c r="G53" i="1"/>
  <c r="F54" i="1"/>
  <c r="F55" i="1" s="1"/>
  <c r="F56" i="1" s="1"/>
  <c r="F57" i="1" s="1"/>
  <c r="F58" i="1" s="1"/>
  <c r="F59" i="1" s="1"/>
  <c r="F60" i="1" s="1"/>
  <c r="F61" i="1" s="1"/>
  <c r="C62" i="1"/>
  <c r="C54" i="1"/>
  <c r="C55" i="1"/>
  <c r="C56" i="1"/>
  <c r="C57" i="1"/>
  <c r="C58" i="1"/>
  <c r="C59" i="1"/>
  <c r="C60" i="1"/>
  <c r="C61" i="1"/>
  <c r="C53" i="1"/>
  <c r="B55" i="1"/>
  <c r="B56" i="1" s="1"/>
  <c r="B57" i="1" s="1"/>
  <c r="B58" i="1" s="1"/>
  <c r="B59" i="1" s="1"/>
  <c r="B60" i="1" s="1"/>
  <c r="B61" i="1" s="1"/>
  <c r="B54" i="1"/>
  <c r="L29" i="1"/>
  <c r="L28" i="1"/>
  <c r="L19" i="1"/>
  <c r="L18" i="1"/>
  <c r="L9" i="1"/>
  <c r="L8" i="1"/>
  <c r="Q53" i="1" l="1"/>
  <c r="O54" i="1"/>
  <c r="O53" i="1"/>
  <c r="M54" i="1"/>
  <c r="M53" i="1"/>
  <c r="P54" i="1"/>
  <c r="Q54" i="1" s="1"/>
  <c r="K39" i="1" s="1"/>
  <c r="N39" i="1" s="1"/>
  <c r="K38" i="1" l="1"/>
  <c r="N38" i="1" s="1"/>
  <c r="P38" i="1" l="1"/>
  <c r="K29" i="1"/>
  <c r="K28" i="1"/>
  <c r="K9" i="1"/>
  <c r="K8" i="1"/>
  <c r="N8" i="1" s="1"/>
  <c r="K19" i="1"/>
  <c r="K18" i="1"/>
  <c r="N18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3" i="1"/>
  <c r="N29" i="1" l="1"/>
  <c r="N19" i="1"/>
  <c r="P18" i="1" s="1"/>
  <c r="R18" i="1" s="1"/>
  <c r="N9" i="1"/>
  <c r="P8" i="1" s="1"/>
  <c r="R8" i="1" s="1"/>
  <c r="N28" i="1"/>
  <c r="D48" i="1" l="1"/>
  <c r="P28" i="1"/>
  <c r="R28" i="1" s="1"/>
  <c r="R38" i="1"/>
  <c r="D47" i="1"/>
  <c r="D49" i="1" l="1"/>
  <c r="P43" i="1"/>
  <c r="Q43" i="1"/>
  <c r="R43" i="1" l="1"/>
</calcChain>
</file>

<file path=xl/sharedStrings.xml><?xml version="1.0" encoding="utf-8"?>
<sst xmlns="http://schemas.openxmlformats.org/spreadsheetml/2006/main" count="141" uniqueCount="54">
  <si>
    <t>State</t>
  </si>
  <si>
    <t xml:space="preserve"> Facility Name</t>
  </si>
  <si>
    <t xml:space="preserve"> Unit ID</t>
  </si>
  <si>
    <t xml:space="preserve"> Year</t>
  </si>
  <si>
    <t xml:space="preserve"> Operating Time</t>
  </si>
  <si>
    <t xml:space="preserve"> Gross Load (MW-h)</t>
  </si>
  <si>
    <t xml:space="preserve"> Heat Input (MMBtu)</t>
  </si>
  <si>
    <t>MA</t>
  </si>
  <si>
    <t>Brayton Point</t>
  </si>
  <si>
    <t>Avg. NOx Rate (lbs/MWh)</t>
  </si>
  <si>
    <t>Actual NOx (tons)</t>
  </si>
  <si>
    <t>NOx emissions based on 2018 RACT (0.12/lbs/MMBtu)*</t>
  </si>
  <si>
    <t xml:space="preserve">*2018 RACT for unit 4: 0.15 lb/mmBtu (oil-firing); 0.08 lb/mmBtu (gas-firing) </t>
  </si>
  <si>
    <t>Unit 4 fuel usage</t>
  </si>
  <si>
    <t>Year</t>
  </si>
  <si>
    <t>mmcf</t>
  </si>
  <si>
    <t>mmBtu</t>
  </si>
  <si>
    <t>1000 gal</t>
  </si>
  <si>
    <t>Waste oil Btu/gal</t>
  </si>
  <si>
    <t>Natural gas Btu/cf</t>
  </si>
  <si>
    <t>No 6 oil Btu/gal</t>
  </si>
  <si>
    <t>Lowest TPY of columns I, K, L and M</t>
  </si>
  <si>
    <t>Representative facility operation</t>
  </si>
  <si>
    <t>Load - two-year periods</t>
  </si>
  <si>
    <t>avg</t>
  </si>
  <si>
    <t>Fuel - two-year periods</t>
  </si>
  <si>
    <t>diff fr avg</t>
  </si>
  <si>
    <t>MWh</t>
  </si>
  <si>
    <t>min</t>
  </si>
  <si>
    <t>NOx emissions based on CD (0.08 lb/mmBtu, units 1&amp;3, 0.28 lb/mmBtu, Unit 2)</t>
  </si>
  <si>
    <t>Avg TPY</t>
  </si>
  <si>
    <t>Estimated yearly NOx emissions in Regional Haze Progress Report from 2017</t>
  </si>
  <si>
    <t>Back-calculated conversion factor from rate to mass</t>
  </si>
  <si>
    <t>Taking into account the ISO marginal emission rate (0.23 lbs/MWh) when  converting to mass credits (0.23 lbs/MWh)</t>
  </si>
  <si>
    <t xml:space="preserve"> represents unit emissions that were used to determine the actual emissions prior to the shutdown</t>
  </si>
  <si>
    <t>Total facility NOx emissions for ERC eligibility in 2019 (adjusted for NOx RACT and Regional Haze) tpy</t>
  </si>
  <si>
    <t>Mass credits from converting all rate offsets to mass credits (tons)</t>
  </si>
  <si>
    <t>Mass credits available after setting aside 250 tons of rate credits to be used for ongoing emissions (tons)</t>
  </si>
  <si>
    <t>Conclusion: 2013-2014 is the most representative 2-year period of 2008-2017</t>
  </si>
  <si>
    <t>Assume energy content of waste oil = energy content of no. 6 oil</t>
  </si>
  <si>
    <t>Avg. Annual NOx Rate (lb/MMBtu) calculated by EPA</t>
  </si>
  <si>
    <t>VOC Emissions reported in source registration</t>
  </si>
  <si>
    <t>Actual VOC (tons)</t>
  </si>
  <si>
    <t>tons per year</t>
  </si>
  <si>
    <t>total</t>
  </si>
  <si>
    <t>tons</t>
  </si>
  <si>
    <t>Tons (mass) calculated from rate times 20 year useful life.  No marginal emission rate for VOC published by ISO-NE, so no deduction.</t>
  </si>
  <si>
    <t>Tons per year (rate) calculated from sum of two-year averages, rounded down to integer value</t>
  </si>
  <si>
    <t>Plantwide Generation, MWh</t>
  </si>
  <si>
    <t>gross</t>
  </si>
  <si>
    <t>net*</t>
  </si>
  <si>
    <t>*https://www.eia.gov/beta/electricity/data/browser/#/plant/1619/?freq=A&amp;pin=</t>
  </si>
  <si>
    <t>ratio net/gross</t>
  </si>
  <si>
    <t>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</si>
</sst>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1" fontId="0" fillId="0" borderId="0" xfId="0" applyNumberFormat="1" applyAlignment="1">
      <alignment wrapText="1"/>
    </xf>
    <xf numFmtId="1" fontId="0" fillId="0" borderId="0" xfId="0" applyNumberFormat="1"/>
    <xf numFmtId="1" fontId="0" fillId="33" borderId="0" xfId="0" applyNumberFormat="1" applyFill="1"/>
    <xf numFmtId="164" fontId="0" fillId="0" borderId="0" xfId="0" applyNumberFormat="1" applyAlignment="1">
      <alignment wrapText="1"/>
    </xf>
    <xf numFmtId="164" fontId="0" fillId="0" borderId="0" xfId="0" applyNumberFormat="1"/>
    <xf numFmtId="1" fontId="0" fillId="0" borderId="0" xfId="0" applyNumberFormat="1" applyFill="1"/>
    <xf numFmtId="1" fontId="0" fillId="34" borderId="0" xfId="0" applyNumberFormat="1" applyFill="1"/>
    <xf numFmtId="1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33" borderId="0" xfId="0" applyNumberFormat="1" applyFill="1" applyAlignment="1">
      <alignment wrapText="1"/>
    </xf>
    <xf numFmtId="1" fontId="16" fillId="33" borderId="16" xfId="0" applyNumberFormat="1" applyFont="1" applyFill="1" applyBorder="1"/>
    <xf numFmtId="1" fontId="0" fillId="33" borderId="10" xfId="0" applyNumberFormat="1" applyFill="1" applyBorder="1"/>
    <xf numFmtId="1" fontId="0" fillId="33" borderId="11" xfId="0" applyNumberFormat="1" applyFill="1" applyBorder="1"/>
    <xf numFmtId="1" fontId="0" fillId="33" borderId="17" xfId="0" applyNumberFormat="1" applyFill="1" applyBorder="1"/>
    <xf numFmtId="1" fontId="0" fillId="33" borderId="12" xfId="0" applyNumberFormat="1" applyFill="1" applyBorder="1"/>
    <xf numFmtId="1" fontId="0" fillId="33" borderId="13" xfId="0" applyNumberFormat="1" applyFill="1" applyBorder="1"/>
    <xf numFmtId="1" fontId="0" fillId="33" borderId="18" xfId="0" applyNumberFormat="1" applyFill="1" applyBorder="1"/>
    <xf numFmtId="1" fontId="0" fillId="33" borderId="14" xfId="0" applyNumberFormat="1" applyFill="1" applyBorder="1"/>
    <xf numFmtId="1" fontId="0" fillId="33" borderId="15" xfId="0" applyNumberFormat="1" applyFill="1" applyBorder="1"/>
    <xf numFmtId="165" fontId="0" fillId="33" borderId="0" xfId="0" applyNumberFormat="1" applyFill="1"/>
    <xf numFmtId="1" fontId="0" fillId="33" borderId="19" xfId="0" applyNumberFormat="1" applyFill="1" applyBorder="1"/>
    <xf numFmtId="1" fontId="0" fillId="33" borderId="20" xfId="0" applyNumberFormat="1" applyFill="1" applyBorder="1"/>
    <xf numFmtId="1" fontId="0" fillId="33" borderId="21" xfId="0" applyNumberFormat="1" applyFill="1" applyBorder="1"/>
    <xf numFmtId="164" fontId="0" fillId="33" borderId="21" xfId="0" applyNumberFormat="1" applyFill="1" applyBorder="1"/>
    <xf numFmtId="1" fontId="0" fillId="33" borderId="0" xfId="0" applyNumberFormat="1" applyFill="1" applyBorder="1" applyAlignment="1">
      <alignment horizontal="center"/>
    </xf>
    <xf numFmtId="1" fontId="0" fillId="33" borderId="0" xfId="0" applyNumberFormat="1" applyFill="1" applyBorder="1"/>
    <xf numFmtId="164" fontId="0" fillId="33" borderId="0" xfId="0" applyNumberFormat="1" applyFill="1" applyBorder="1" applyAlignment="1">
      <alignment horizontal="center"/>
    </xf>
    <xf numFmtId="1" fontId="0" fillId="33" borderId="22" xfId="0" applyNumberFormat="1" applyFill="1" applyBorder="1"/>
    <xf numFmtId="164" fontId="0" fillId="33" borderId="0" xfId="0" applyNumberFormat="1" applyFill="1" applyBorder="1"/>
    <xf numFmtId="1" fontId="0" fillId="33" borderId="23" xfId="0" applyNumberFormat="1" applyFill="1" applyBorder="1"/>
    <xf numFmtId="164" fontId="0" fillId="33" borderId="23" xfId="0" applyNumberFormat="1" applyFill="1" applyBorder="1"/>
    <xf numFmtId="1" fontId="0" fillId="0" borderId="21" xfId="0" applyNumberFormat="1" applyBorder="1"/>
    <xf numFmtId="164" fontId="0" fillId="0" borderId="21" xfId="0" applyNumberFormat="1" applyBorder="1"/>
    <xf numFmtId="3" fontId="0" fillId="0" borderId="2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164" fontId="0" fillId="0" borderId="0" xfId="0" applyNumberFormat="1" applyBorder="1"/>
    <xf numFmtId="3" fontId="0" fillId="0" borderId="0" xfId="0" applyNumberFormat="1" applyBorder="1"/>
    <xf numFmtId="1" fontId="0" fillId="0" borderId="13" xfId="0" applyNumberFormat="1" applyBorder="1"/>
    <xf numFmtId="2" fontId="0" fillId="0" borderId="0" xfId="0" applyNumberFormat="1" applyBorder="1"/>
    <xf numFmtId="1" fontId="0" fillId="0" borderId="14" xfId="0" applyNumberFormat="1" applyBorder="1"/>
    <xf numFmtId="1" fontId="0" fillId="0" borderId="23" xfId="0" applyNumberFormat="1" applyBorder="1"/>
    <xf numFmtId="164" fontId="0" fillId="0" borderId="23" xfId="0" applyNumberFormat="1" applyBorder="1"/>
    <xf numFmtId="3" fontId="0" fillId="0" borderId="23" xfId="0" applyNumberFormat="1" applyBorder="1"/>
    <xf numFmtId="1" fontId="0" fillId="0" borderId="15" xfId="0" applyNumberFormat="1" applyBorder="1"/>
    <xf numFmtId="1" fontId="0" fillId="33" borderId="24" xfId="0" applyNumberFormat="1" applyFill="1" applyBorder="1"/>
    <xf numFmtId="1" fontId="0" fillId="33" borderId="25" xfId="0" applyNumberFormat="1" applyFill="1" applyBorder="1"/>
    <xf numFmtId="1" fontId="0" fillId="33" borderId="26" xfId="0" applyNumberFormat="1" applyFill="1" applyBorder="1"/>
    <xf numFmtId="2" fontId="0" fillId="33" borderId="0" xfId="0" applyNumberFormat="1" applyFill="1"/>
    <xf numFmtId="1" fontId="14" fillId="0" borderId="0" xfId="0" applyNumberFormat="1" applyFont="1" applyFill="1" applyAlignment="1"/>
    <xf numFmtId="1" fontId="14" fillId="0" borderId="0" xfId="0" applyNumberFormat="1" applyFont="1" applyFill="1"/>
    <xf numFmtId="1" fontId="14" fillId="0" borderId="0" xfId="0" applyNumberFormat="1" applyFont="1"/>
    <xf numFmtId="164" fontId="14" fillId="0" borderId="0" xfId="0" applyNumberFormat="1" applyFont="1"/>
    <xf numFmtId="164" fontId="18" fillId="0" borderId="13" xfId="0" applyNumberFormat="1" applyFont="1" applyBorder="1"/>
    <xf numFmtId="1" fontId="19" fillId="0" borderId="0" xfId="0" applyNumberFormat="1" applyFont="1"/>
    <xf numFmtId="1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tabSelected="1" zoomScale="70" zoomScaleNormal="70" workbookViewId="0">
      <pane ySplit="2" topLeftCell="A36" activePane="bottomLeft" state="frozen"/>
      <selection pane="bottomLeft" activeCell="A2" sqref="A2"/>
    </sheetView>
  </sheetViews>
  <sheetFormatPr defaultColWidth="9.140625" defaultRowHeight="15" x14ac:dyDescent="0.25"/>
  <cols>
    <col min="1" max="1" width="9.140625" style="2"/>
    <col min="2" max="2" width="19.85546875" style="2" customWidth="1"/>
    <col min="3" max="3" width="12" style="2" customWidth="1"/>
    <col min="4" max="4" width="12.42578125" style="2" customWidth="1"/>
    <col min="5" max="5" width="10.7109375" style="2" customWidth="1"/>
    <col min="6" max="6" width="13.5703125" style="2" customWidth="1"/>
    <col min="7" max="8" width="12" style="5" customWidth="1"/>
    <col min="9" max="9" width="9.140625" style="2"/>
    <col min="10" max="10" width="16.140625" style="9" customWidth="1"/>
    <col min="11" max="11" width="19" style="2" customWidth="1"/>
    <col min="12" max="12" width="19.5703125" style="2" customWidth="1"/>
    <col min="13" max="13" width="16.140625" style="2" customWidth="1"/>
    <col min="14" max="14" width="19.42578125" style="2" bestFit="1" customWidth="1"/>
    <col min="15" max="15" width="28.42578125" style="2" bestFit="1" customWidth="1"/>
    <col min="16" max="16" width="23.42578125" style="8" customWidth="1"/>
    <col min="17" max="17" width="27.85546875" style="8" customWidth="1"/>
    <col min="18" max="18" width="23.42578125" style="8" customWidth="1"/>
    <col min="19" max="16384" width="9.140625" style="2"/>
  </cols>
  <sheetData>
    <row r="1" spans="1:18" s="8" customFormat="1" ht="18.75" x14ac:dyDescent="0.3">
      <c r="A1" s="58" t="s">
        <v>53</v>
      </c>
      <c r="G1" s="5"/>
      <c r="H1" s="5"/>
      <c r="J1" s="9"/>
    </row>
    <row r="2" spans="1:18" s="1" customFormat="1" ht="92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 t="s">
        <v>40</v>
      </c>
      <c r="H2" s="4" t="s">
        <v>9</v>
      </c>
      <c r="I2" s="1" t="s">
        <v>10</v>
      </c>
      <c r="J2" s="10" t="s">
        <v>6</v>
      </c>
      <c r="K2" s="11" t="s">
        <v>11</v>
      </c>
      <c r="L2" s="11" t="s">
        <v>29</v>
      </c>
      <c r="M2" s="1" t="s">
        <v>31</v>
      </c>
      <c r="N2" s="11" t="s">
        <v>21</v>
      </c>
      <c r="O2" s="1" t="s">
        <v>33</v>
      </c>
      <c r="P2" s="11" t="s">
        <v>30</v>
      </c>
      <c r="Q2" s="11" t="s">
        <v>33</v>
      </c>
      <c r="R2" s="11" t="s">
        <v>32</v>
      </c>
    </row>
    <row r="3" spans="1:18" x14ac:dyDescent="0.25">
      <c r="A3" s="2" t="s">
        <v>7</v>
      </c>
      <c r="B3" s="2" t="s">
        <v>8</v>
      </c>
      <c r="C3" s="2">
        <v>1</v>
      </c>
      <c r="D3" s="2">
        <v>2008</v>
      </c>
      <c r="E3" s="2">
        <v>7873</v>
      </c>
      <c r="F3" s="2">
        <v>1842322.75</v>
      </c>
      <c r="G3" s="5">
        <v>0.11310000000000001</v>
      </c>
      <c r="H3" s="5">
        <f>I3*2000/F3</f>
        <v>0.94577456637280299</v>
      </c>
      <c r="I3" s="2">
        <v>871.21100000000001</v>
      </c>
      <c r="J3" s="9">
        <v>16328374.050000001</v>
      </c>
      <c r="Q3" s="6"/>
      <c r="R3" s="6"/>
    </row>
    <row r="4" spans="1:18" x14ac:dyDescent="0.25">
      <c r="A4" s="2" t="s">
        <v>7</v>
      </c>
      <c r="B4" s="2" t="s">
        <v>8</v>
      </c>
      <c r="C4" s="2">
        <v>1</v>
      </c>
      <c r="D4" s="2">
        <v>2009</v>
      </c>
      <c r="E4" s="2">
        <v>7134.5</v>
      </c>
      <c r="F4" s="2">
        <v>1569187.5</v>
      </c>
      <c r="G4" s="5">
        <v>0.1052</v>
      </c>
      <c r="H4" s="5">
        <f t="shared" ref="H4:H42" si="0">I4*2000/F4</f>
        <v>0.88406898474529017</v>
      </c>
      <c r="I4" s="2">
        <v>693.63499999999999</v>
      </c>
      <c r="J4" s="9">
        <v>14494874.550000001</v>
      </c>
      <c r="Q4" s="6"/>
      <c r="R4" s="6"/>
    </row>
    <row r="5" spans="1:18" x14ac:dyDescent="0.25">
      <c r="A5" s="2" t="s">
        <v>7</v>
      </c>
      <c r="B5" s="2" t="s">
        <v>8</v>
      </c>
      <c r="C5" s="2">
        <v>1</v>
      </c>
      <c r="D5" s="2">
        <v>2010</v>
      </c>
      <c r="E5" s="2">
        <v>8305</v>
      </c>
      <c r="F5" s="2">
        <v>1778259.5</v>
      </c>
      <c r="G5" s="5">
        <v>0.1321</v>
      </c>
      <c r="H5" s="5">
        <f t="shared" si="0"/>
        <v>1.1077449607326715</v>
      </c>
      <c r="I5" s="2">
        <v>984.92899999999997</v>
      </c>
      <c r="J5" s="9">
        <v>16786551.175000001</v>
      </c>
      <c r="Q5" s="6"/>
      <c r="R5" s="6"/>
    </row>
    <row r="6" spans="1:18" x14ac:dyDescent="0.25">
      <c r="A6" s="2" t="s">
        <v>7</v>
      </c>
      <c r="B6" s="2" t="s">
        <v>8</v>
      </c>
      <c r="C6" s="2">
        <v>1</v>
      </c>
      <c r="D6" s="2">
        <v>2011</v>
      </c>
      <c r="E6" s="2">
        <v>5949</v>
      </c>
      <c r="F6" s="2">
        <v>946002</v>
      </c>
      <c r="G6" s="5">
        <v>0.1671</v>
      </c>
      <c r="H6" s="5">
        <f t="shared" si="0"/>
        <v>1.3425595294724535</v>
      </c>
      <c r="I6" s="2">
        <v>635.03200000000004</v>
      </c>
      <c r="J6" s="9">
        <v>8998575.375</v>
      </c>
      <c r="Q6" s="6"/>
      <c r="R6" s="6"/>
    </row>
    <row r="7" spans="1:18" x14ac:dyDescent="0.25">
      <c r="A7" s="2" t="s">
        <v>7</v>
      </c>
      <c r="B7" s="2" t="s">
        <v>8</v>
      </c>
      <c r="C7" s="2">
        <v>1</v>
      </c>
      <c r="D7" s="2">
        <v>2012</v>
      </c>
      <c r="E7" s="2">
        <v>4370.75</v>
      </c>
      <c r="F7" s="2">
        <v>665528.5</v>
      </c>
      <c r="G7" s="5">
        <v>0.13109999999999999</v>
      </c>
      <c r="H7" s="5">
        <f t="shared" si="0"/>
        <v>1.057580554401502</v>
      </c>
      <c r="I7" s="2">
        <v>351.92500000000001</v>
      </c>
      <c r="J7" s="9">
        <v>6399637.0499999998</v>
      </c>
      <c r="Q7" s="6"/>
      <c r="R7" s="6"/>
    </row>
    <row r="8" spans="1:18" x14ac:dyDescent="0.25">
      <c r="A8" s="2" t="s">
        <v>7</v>
      </c>
      <c r="B8" s="2" t="s">
        <v>8</v>
      </c>
      <c r="C8" s="2">
        <v>1</v>
      </c>
      <c r="D8" s="2">
        <v>2013</v>
      </c>
      <c r="E8" s="2">
        <v>4735.5</v>
      </c>
      <c r="F8" s="2">
        <v>855455.25</v>
      </c>
      <c r="G8" s="5">
        <v>0.1028</v>
      </c>
      <c r="H8" s="5">
        <f t="shared" si="0"/>
        <v>0.78416959858508084</v>
      </c>
      <c r="I8" s="3">
        <v>335.411</v>
      </c>
      <c r="J8" s="9">
        <v>8014513.2000000002</v>
      </c>
      <c r="K8" s="6">
        <f t="shared" ref="K8:K9" si="1">J8*0.12/2000</f>
        <v>480.87079199999999</v>
      </c>
      <c r="L8" s="3">
        <f>J8*0.08/2000</f>
        <v>320.58052800000002</v>
      </c>
      <c r="M8" s="2">
        <v>1464</v>
      </c>
      <c r="N8" s="7">
        <f>MIN(I8,K8,L8,M8)</f>
        <v>320.58052800000002</v>
      </c>
      <c r="O8" s="8">
        <f>20*(N8-(((F8*$N$44)*0.23)/2000))</f>
        <v>4595.5090435766397</v>
      </c>
      <c r="P8" s="3">
        <f>(N8+N9)/2</f>
        <v>264.87376399999999</v>
      </c>
      <c r="Q8" s="3">
        <f>20*(P8-((((F8*$N$44)+(F9*$N$45))/2)*0.23/2000))</f>
        <v>3653.2115057673618</v>
      </c>
      <c r="R8" s="21">
        <f>Q8/P8</f>
        <v>13.792273914178084</v>
      </c>
    </row>
    <row r="9" spans="1:18" x14ac:dyDescent="0.25">
      <c r="A9" s="2" t="s">
        <v>7</v>
      </c>
      <c r="B9" s="2" t="s">
        <v>8</v>
      </c>
      <c r="C9" s="2">
        <v>1</v>
      </c>
      <c r="D9" s="2">
        <v>2014</v>
      </c>
      <c r="E9" s="2">
        <v>3526.5</v>
      </c>
      <c r="F9" s="2">
        <v>692679.25</v>
      </c>
      <c r="G9" s="5">
        <v>7.4800000000000005E-2</v>
      </c>
      <c r="H9" s="5">
        <f t="shared" si="0"/>
        <v>0.60393609307626872</v>
      </c>
      <c r="I9" s="3">
        <v>209.167</v>
      </c>
      <c r="J9" s="9">
        <v>6357309.4500000002</v>
      </c>
      <c r="K9" s="6">
        <f t="shared" si="1"/>
        <v>381.43856699999998</v>
      </c>
      <c r="L9" s="3">
        <f>J9*0.08/2000</f>
        <v>254.29237800000001</v>
      </c>
      <c r="M9" s="2">
        <v>1464</v>
      </c>
      <c r="N9" s="7">
        <f>MIN(I9,K9,L9,M9)</f>
        <v>209.167</v>
      </c>
      <c r="O9" s="8">
        <f>20*(N9-(((F9*$N$45)*0.23)/2000))</f>
        <v>2710.9139679580835</v>
      </c>
      <c r="P9" s="3"/>
      <c r="Q9" s="6"/>
      <c r="R9" s="6"/>
    </row>
    <row r="10" spans="1:18" x14ac:dyDescent="0.25">
      <c r="A10" s="2" t="s">
        <v>7</v>
      </c>
      <c r="B10" s="2" t="s">
        <v>8</v>
      </c>
      <c r="C10" s="2">
        <v>1</v>
      </c>
      <c r="D10" s="2">
        <v>2015</v>
      </c>
      <c r="E10" s="2">
        <v>3085.5</v>
      </c>
      <c r="F10" s="2">
        <v>627731</v>
      </c>
      <c r="G10" s="5">
        <v>6.83E-2</v>
      </c>
      <c r="H10" s="5">
        <f t="shared" si="0"/>
        <v>0.58562345973036223</v>
      </c>
      <c r="I10" s="2">
        <v>183.80699999999999</v>
      </c>
      <c r="J10" s="9">
        <v>5969737.8250000002</v>
      </c>
      <c r="K10" s="6"/>
      <c r="Q10" s="6"/>
      <c r="R10" s="6"/>
    </row>
    <row r="11" spans="1:18" x14ac:dyDescent="0.25">
      <c r="A11" s="2" t="s">
        <v>7</v>
      </c>
      <c r="B11" s="2" t="s">
        <v>8</v>
      </c>
      <c r="C11" s="2">
        <v>1</v>
      </c>
      <c r="D11" s="2">
        <v>2016</v>
      </c>
      <c r="E11" s="2">
        <v>5988</v>
      </c>
      <c r="F11" s="2">
        <v>1036214.25</v>
      </c>
      <c r="G11" s="5">
        <v>6.6500000000000004E-2</v>
      </c>
      <c r="H11" s="5">
        <f t="shared" si="0"/>
        <v>0.65286305414155421</v>
      </c>
      <c r="I11" s="2">
        <v>338.25299999999999</v>
      </c>
      <c r="J11" s="9">
        <v>10604312.85</v>
      </c>
      <c r="K11" s="6"/>
      <c r="Q11" s="6"/>
      <c r="R11" s="6"/>
    </row>
    <row r="12" spans="1:18" x14ac:dyDescent="0.25">
      <c r="A12" s="2" t="s">
        <v>7</v>
      </c>
      <c r="B12" s="2" t="s">
        <v>8</v>
      </c>
      <c r="C12" s="2">
        <v>1</v>
      </c>
      <c r="D12" s="2">
        <v>2017</v>
      </c>
      <c r="E12" s="2">
        <v>2205.25</v>
      </c>
      <c r="F12" s="2">
        <v>342847.75</v>
      </c>
      <c r="G12" s="5">
        <v>7.3700000000000002E-2</v>
      </c>
      <c r="H12" s="5">
        <f t="shared" si="0"/>
        <v>0.74762048168611284</v>
      </c>
      <c r="I12" s="2">
        <v>128.16</v>
      </c>
      <c r="J12" s="9">
        <v>3630324.5249999999</v>
      </c>
      <c r="K12" s="6"/>
      <c r="Q12" s="6"/>
      <c r="R12" s="6"/>
    </row>
    <row r="13" spans="1:18" x14ac:dyDescent="0.25">
      <c r="A13" s="2" t="s">
        <v>7</v>
      </c>
      <c r="B13" s="2" t="s">
        <v>8</v>
      </c>
      <c r="C13" s="2">
        <v>2</v>
      </c>
      <c r="D13" s="2">
        <v>2008</v>
      </c>
      <c r="E13" s="2">
        <v>8501</v>
      </c>
      <c r="F13" s="2">
        <v>1979178.5</v>
      </c>
      <c r="G13" s="5">
        <v>0.23799999999999999</v>
      </c>
      <c r="H13" s="5">
        <f t="shared" si="0"/>
        <v>2.1037718427115086</v>
      </c>
      <c r="I13" s="2">
        <v>2081.87</v>
      </c>
      <c r="J13" s="9">
        <v>17558332.300000001</v>
      </c>
      <c r="K13" s="6"/>
      <c r="Q13" s="6"/>
      <c r="R13" s="6"/>
    </row>
    <row r="14" spans="1:18" x14ac:dyDescent="0.25">
      <c r="A14" s="2" t="s">
        <v>7</v>
      </c>
      <c r="B14" s="2" t="s">
        <v>8</v>
      </c>
      <c r="C14" s="2">
        <v>2</v>
      </c>
      <c r="D14" s="2">
        <v>2009</v>
      </c>
      <c r="E14" s="2">
        <v>7686</v>
      </c>
      <c r="F14" s="2">
        <v>1696367</v>
      </c>
      <c r="G14" s="5">
        <v>0.23710000000000001</v>
      </c>
      <c r="H14" s="5">
        <f t="shared" si="0"/>
        <v>2.1251274046241173</v>
      </c>
      <c r="I14" s="2">
        <v>1802.498</v>
      </c>
      <c r="J14" s="9">
        <v>15166254.125</v>
      </c>
      <c r="K14" s="6"/>
      <c r="Q14" s="6"/>
      <c r="R14" s="6"/>
    </row>
    <row r="15" spans="1:18" x14ac:dyDescent="0.25">
      <c r="A15" s="2" t="s">
        <v>7</v>
      </c>
      <c r="B15" s="2" t="s">
        <v>8</v>
      </c>
      <c r="C15" s="2">
        <v>2</v>
      </c>
      <c r="D15" s="2">
        <v>2010</v>
      </c>
      <c r="E15" s="2">
        <v>8272.5</v>
      </c>
      <c r="F15" s="2">
        <v>1778593.5</v>
      </c>
      <c r="G15" s="5">
        <v>0.2581</v>
      </c>
      <c r="H15" s="5">
        <f t="shared" si="0"/>
        <v>2.2969801700051193</v>
      </c>
      <c r="I15" s="2">
        <v>2042.6969999999999</v>
      </c>
      <c r="J15" s="9">
        <v>15981433.800000001</v>
      </c>
      <c r="K15" s="6"/>
      <c r="Q15" s="6"/>
      <c r="R15" s="6"/>
    </row>
    <row r="16" spans="1:18" x14ac:dyDescent="0.25">
      <c r="A16" s="2" t="s">
        <v>7</v>
      </c>
      <c r="B16" s="2" t="s">
        <v>8</v>
      </c>
      <c r="C16" s="2">
        <v>2</v>
      </c>
      <c r="D16" s="2">
        <v>2011</v>
      </c>
      <c r="E16" s="2">
        <v>4353.5</v>
      </c>
      <c r="F16" s="2">
        <v>703214.25</v>
      </c>
      <c r="G16" s="5">
        <v>0.2462</v>
      </c>
      <c r="H16" s="5">
        <f t="shared" si="0"/>
        <v>2.3519403936993597</v>
      </c>
      <c r="I16" s="2">
        <v>826.95899999999995</v>
      </c>
      <c r="J16" s="9">
        <v>6504259.3250000002</v>
      </c>
      <c r="K16" s="6"/>
      <c r="Q16" s="6"/>
      <c r="R16" s="6"/>
    </row>
    <row r="17" spans="1:18" x14ac:dyDescent="0.25">
      <c r="A17" s="2" t="s">
        <v>7</v>
      </c>
      <c r="B17" s="2" t="s">
        <v>8</v>
      </c>
      <c r="C17" s="2">
        <v>2</v>
      </c>
      <c r="D17" s="2">
        <v>2012</v>
      </c>
      <c r="E17" s="2">
        <v>2962.25</v>
      </c>
      <c r="F17" s="2">
        <v>408204.75</v>
      </c>
      <c r="G17" s="5">
        <v>0.2387</v>
      </c>
      <c r="H17" s="5">
        <f t="shared" si="0"/>
        <v>2.5781865595635525</v>
      </c>
      <c r="I17" s="2">
        <v>526.21400000000006</v>
      </c>
      <c r="J17" s="9">
        <v>3987631.65</v>
      </c>
      <c r="K17" s="6"/>
      <c r="Q17" s="6"/>
      <c r="R17" s="6"/>
    </row>
    <row r="18" spans="1:18" x14ac:dyDescent="0.25">
      <c r="A18" s="2" t="s">
        <v>7</v>
      </c>
      <c r="B18" s="2" t="s">
        <v>8</v>
      </c>
      <c r="C18" s="2">
        <v>2</v>
      </c>
      <c r="D18" s="2">
        <v>2013</v>
      </c>
      <c r="E18" s="2">
        <v>4395.5</v>
      </c>
      <c r="F18" s="2">
        <v>802821.5</v>
      </c>
      <c r="G18" s="5">
        <v>0.2447</v>
      </c>
      <c r="H18" s="5">
        <f t="shared" si="0"/>
        <v>2.4853818688214004</v>
      </c>
      <c r="I18" s="3">
        <v>997.65899999999999</v>
      </c>
      <c r="J18" s="9">
        <v>7716224.6749999998</v>
      </c>
      <c r="K18" s="6">
        <f>J18*0.12/2000</f>
        <v>462.97348049999994</v>
      </c>
      <c r="L18" s="3">
        <f>J18*0.28/2000</f>
        <v>1080.2714544999999</v>
      </c>
      <c r="M18" s="2">
        <v>1392</v>
      </c>
      <c r="N18" s="7">
        <f>MIN(I18,K18,L18,M18)</f>
        <v>462.97348049999994</v>
      </c>
      <c r="O18" s="2">
        <f>20*(N18-(((F18*$N$44)*0.23)/2000))</f>
        <v>7555.1077002831826</v>
      </c>
      <c r="P18" s="3">
        <f>(N18+N19)/2</f>
        <v>449.37126975000001</v>
      </c>
      <c r="Q18" s="3">
        <f>20*(P18-((((F18*$N$44)+(F19*$N$45))/2)*0.23/2000))</f>
        <v>7299.9739554680746</v>
      </c>
      <c r="R18" s="21">
        <f>Q18/P18</f>
        <v>16.244861313740174</v>
      </c>
    </row>
    <row r="19" spans="1:18" x14ac:dyDescent="0.25">
      <c r="A19" s="2" t="s">
        <v>7</v>
      </c>
      <c r="B19" s="2" t="s">
        <v>8</v>
      </c>
      <c r="C19" s="2">
        <v>2</v>
      </c>
      <c r="D19" s="2">
        <v>2014</v>
      </c>
      <c r="E19" s="2">
        <v>3923.25</v>
      </c>
      <c r="F19" s="2">
        <v>785879.25</v>
      </c>
      <c r="G19" s="5">
        <v>0.24360000000000001</v>
      </c>
      <c r="H19" s="5">
        <f t="shared" si="0"/>
        <v>2.2894382311277464</v>
      </c>
      <c r="I19" s="3">
        <v>899.61099999999999</v>
      </c>
      <c r="J19" s="9">
        <v>7262817.6500000004</v>
      </c>
      <c r="K19" s="6">
        <f>J19*0.12/2000</f>
        <v>435.76905900000003</v>
      </c>
      <c r="L19" s="3">
        <f>J19*0.28/2000</f>
        <v>1016.7944710000002</v>
      </c>
      <c r="M19" s="2">
        <v>1392</v>
      </c>
      <c r="N19" s="7">
        <f>MIN(I19,K19,L19,M19)</f>
        <v>435.76905900000003</v>
      </c>
      <c r="O19" s="8">
        <f>20*(N19-(((F19*$N$45)*0.23)/2000))</f>
        <v>7044.8402106529647</v>
      </c>
      <c r="P19" s="3"/>
      <c r="Q19" s="6"/>
      <c r="R19" s="6"/>
    </row>
    <row r="20" spans="1:18" x14ac:dyDescent="0.25">
      <c r="A20" s="2" t="s">
        <v>7</v>
      </c>
      <c r="B20" s="2" t="s">
        <v>8</v>
      </c>
      <c r="C20" s="2">
        <v>2</v>
      </c>
      <c r="D20" s="2">
        <v>2015</v>
      </c>
      <c r="E20" s="2">
        <v>2854.75</v>
      </c>
      <c r="F20" s="2">
        <v>567753.75</v>
      </c>
      <c r="G20" s="5">
        <v>0.23380000000000001</v>
      </c>
      <c r="H20" s="5">
        <f t="shared" si="0"/>
        <v>2.2272825146465345</v>
      </c>
      <c r="I20" s="2">
        <v>632.274</v>
      </c>
      <c r="J20" s="9">
        <v>5281864.05</v>
      </c>
      <c r="K20" s="6"/>
      <c r="Q20" s="6"/>
      <c r="R20" s="6"/>
    </row>
    <row r="21" spans="1:18" x14ac:dyDescent="0.25">
      <c r="A21" s="2" t="s">
        <v>7</v>
      </c>
      <c r="B21" s="2" t="s">
        <v>8</v>
      </c>
      <c r="C21" s="2">
        <v>2</v>
      </c>
      <c r="D21" s="2">
        <v>2016</v>
      </c>
      <c r="E21" s="2">
        <v>2605.75</v>
      </c>
      <c r="F21" s="2">
        <v>394680</v>
      </c>
      <c r="G21" s="5">
        <v>0.21629999999999999</v>
      </c>
      <c r="H21" s="5">
        <f t="shared" si="0"/>
        <v>2.1552954292084725</v>
      </c>
      <c r="I21" s="2">
        <v>425.32600000000002</v>
      </c>
      <c r="J21" s="9">
        <v>3848596.15</v>
      </c>
      <c r="K21" s="6"/>
      <c r="Q21" s="6"/>
      <c r="R21" s="6"/>
    </row>
    <row r="22" spans="1:18" x14ac:dyDescent="0.25">
      <c r="A22" s="2" t="s">
        <v>7</v>
      </c>
      <c r="B22" s="2" t="s">
        <v>8</v>
      </c>
      <c r="C22" s="2">
        <v>2</v>
      </c>
      <c r="D22" s="2">
        <v>2017</v>
      </c>
      <c r="E22" s="2">
        <v>1460</v>
      </c>
      <c r="F22" s="2">
        <v>240646</v>
      </c>
      <c r="G22" s="5">
        <v>0.2326</v>
      </c>
      <c r="H22" s="5">
        <f t="shared" si="0"/>
        <v>2.238682546146622</v>
      </c>
      <c r="I22" s="2">
        <v>269.36500000000001</v>
      </c>
      <c r="J22" s="9">
        <v>2310693.7250000001</v>
      </c>
      <c r="K22" s="6"/>
      <c r="Q22" s="6"/>
      <c r="R22" s="6"/>
    </row>
    <row r="23" spans="1:18" x14ac:dyDescent="0.25">
      <c r="A23" s="2" t="s">
        <v>7</v>
      </c>
      <c r="B23" s="2" t="s">
        <v>8</v>
      </c>
      <c r="C23" s="2">
        <v>3</v>
      </c>
      <c r="D23" s="2">
        <v>2008</v>
      </c>
      <c r="E23" s="2">
        <v>7592.75</v>
      </c>
      <c r="F23" s="2">
        <v>4510903</v>
      </c>
      <c r="G23" s="5">
        <v>0.14219999999999999</v>
      </c>
      <c r="H23" s="5">
        <f t="shared" si="0"/>
        <v>1.127779958912883</v>
      </c>
      <c r="I23" s="2">
        <v>2543.6529999999998</v>
      </c>
      <c r="J23" s="9">
        <v>37915219.335000001</v>
      </c>
      <c r="K23" s="6"/>
      <c r="Q23" s="6"/>
      <c r="R23" s="6"/>
    </row>
    <row r="24" spans="1:18" x14ac:dyDescent="0.25">
      <c r="A24" s="2" t="s">
        <v>7</v>
      </c>
      <c r="B24" s="2" t="s">
        <v>8</v>
      </c>
      <c r="C24" s="2">
        <v>3</v>
      </c>
      <c r="D24" s="2">
        <v>2009</v>
      </c>
      <c r="E24" s="2">
        <v>7775</v>
      </c>
      <c r="F24" s="2">
        <v>4387061</v>
      </c>
      <c r="G24" s="5">
        <v>0.14069999999999999</v>
      </c>
      <c r="H24" s="5">
        <f t="shared" si="0"/>
        <v>1.123000569173759</v>
      </c>
      <c r="I24" s="2">
        <v>2463.3359999999998</v>
      </c>
      <c r="J24" s="9">
        <v>37165874.899999999</v>
      </c>
      <c r="K24" s="6"/>
      <c r="Q24" s="6"/>
      <c r="R24" s="6"/>
    </row>
    <row r="25" spans="1:18" x14ac:dyDescent="0.25">
      <c r="A25" s="2" t="s">
        <v>7</v>
      </c>
      <c r="B25" s="2" t="s">
        <v>8</v>
      </c>
      <c r="C25" s="2">
        <v>3</v>
      </c>
      <c r="D25" s="2">
        <v>2010</v>
      </c>
      <c r="E25" s="2">
        <v>6095.5</v>
      </c>
      <c r="F25" s="2">
        <v>3456114.25</v>
      </c>
      <c r="G25" s="5">
        <v>0.13539999999999999</v>
      </c>
      <c r="H25" s="5">
        <f t="shared" si="0"/>
        <v>1.0525861522083653</v>
      </c>
      <c r="I25" s="2">
        <v>1818.9290000000001</v>
      </c>
      <c r="J25" s="9">
        <v>29391034.024999999</v>
      </c>
      <c r="K25" s="6"/>
      <c r="Q25" s="6"/>
      <c r="R25" s="6"/>
    </row>
    <row r="26" spans="1:18" x14ac:dyDescent="0.25">
      <c r="A26" s="2" t="s">
        <v>7</v>
      </c>
      <c r="B26" s="2" t="s">
        <v>8</v>
      </c>
      <c r="C26" s="2">
        <v>3</v>
      </c>
      <c r="D26" s="2">
        <v>2011</v>
      </c>
      <c r="E26" s="2">
        <v>4262.5</v>
      </c>
      <c r="F26" s="2">
        <v>2163033.5</v>
      </c>
      <c r="G26" s="5">
        <v>0.14019999999999999</v>
      </c>
      <c r="H26" s="5">
        <f t="shared" si="0"/>
        <v>1.0490091808564221</v>
      </c>
      <c r="I26" s="2">
        <v>1134.521</v>
      </c>
      <c r="J26" s="9">
        <v>18244945.375</v>
      </c>
      <c r="K26" s="6"/>
      <c r="Q26" s="6"/>
      <c r="R26" s="6"/>
    </row>
    <row r="27" spans="1:18" x14ac:dyDescent="0.25">
      <c r="A27" s="2" t="s">
        <v>7</v>
      </c>
      <c r="B27" s="2" t="s">
        <v>8</v>
      </c>
      <c r="C27" s="2">
        <v>3</v>
      </c>
      <c r="D27" s="2">
        <v>2012</v>
      </c>
      <c r="E27" s="2">
        <v>2230</v>
      </c>
      <c r="F27" s="2">
        <v>1027180.75</v>
      </c>
      <c r="G27" s="5">
        <v>0.1182</v>
      </c>
      <c r="H27" s="5">
        <f t="shared" si="0"/>
        <v>0.78434102274599671</v>
      </c>
      <c r="I27" s="2">
        <v>402.83</v>
      </c>
      <c r="J27" s="9">
        <v>8792613.3000000007</v>
      </c>
      <c r="K27" s="6"/>
      <c r="Q27" s="6"/>
      <c r="R27" s="6"/>
    </row>
    <row r="28" spans="1:18" x14ac:dyDescent="0.25">
      <c r="A28" s="2" t="s">
        <v>7</v>
      </c>
      <c r="B28" s="2" t="s">
        <v>8</v>
      </c>
      <c r="C28" s="2">
        <v>3</v>
      </c>
      <c r="D28" s="2">
        <v>2013</v>
      </c>
      <c r="E28" s="2">
        <v>4533.25</v>
      </c>
      <c r="F28" s="2">
        <v>2238872.75</v>
      </c>
      <c r="G28" s="5">
        <v>0.1144</v>
      </c>
      <c r="H28" s="5">
        <f t="shared" si="0"/>
        <v>0.8279595166808833</v>
      </c>
      <c r="I28" s="3">
        <v>926.84799999999996</v>
      </c>
      <c r="J28" s="9">
        <v>19236529.774999999</v>
      </c>
      <c r="K28" s="6">
        <f t="shared" ref="K28:K29" si="2">J28*0.12/2000</f>
        <v>1154.1917865</v>
      </c>
      <c r="L28" s="3">
        <f>J28*0.08/2000</f>
        <v>769.46119099999999</v>
      </c>
      <c r="M28" s="2">
        <v>3221</v>
      </c>
      <c r="N28" s="7">
        <f>MIN(I28,K28,L28,M28)</f>
        <v>769.46119099999999</v>
      </c>
      <c r="O28" s="8">
        <f>20*(N28-(((F28*$N$44)*0.23)/2000))</f>
        <v>10636.175432777009</v>
      </c>
      <c r="P28" s="3">
        <f>(N28+N29)/2</f>
        <v>596.11609550000003</v>
      </c>
      <c r="Q28" s="3">
        <f>20*(P28-((((F28*$N$44)+(F29*$N$45))/2)*0.23/2000))</f>
        <v>8100.3701587962914</v>
      </c>
      <c r="R28" s="21">
        <f>Q28/P28</f>
        <v>13.588578164463085</v>
      </c>
    </row>
    <row r="29" spans="1:18" x14ac:dyDescent="0.25">
      <c r="A29" s="2" t="s">
        <v>7</v>
      </c>
      <c r="B29" s="2" t="s">
        <v>8</v>
      </c>
      <c r="C29" s="2">
        <v>3</v>
      </c>
      <c r="D29" s="2">
        <v>2014</v>
      </c>
      <c r="E29" s="2">
        <v>2694.25</v>
      </c>
      <c r="F29" s="2">
        <v>1359956.5</v>
      </c>
      <c r="G29" s="5">
        <v>9.0899999999999995E-2</v>
      </c>
      <c r="H29" s="5">
        <f t="shared" si="0"/>
        <v>0.62174194542251904</v>
      </c>
      <c r="I29" s="3">
        <v>422.77100000000002</v>
      </c>
      <c r="J29" s="9">
        <v>11692964.949999999</v>
      </c>
      <c r="K29" s="6">
        <f t="shared" si="2"/>
        <v>701.57789699999989</v>
      </c>
      <c r="L29" s="3">
        <f>J29*0.08/2000</f>
        <v>467.71859799999999</v>
      </c>
      <c r="M29" s="2">
        <v>3221</v>
      </c>
      <c r="N29" s="7">
        <f>MIN(I29,K29,L29,M29)</f>
        <v>422.77100000000002</v>
      </c>
      <c r="O29" s="8">
        <f>20*(N29-(((F29*$N$45)*0.23)/2000))</f>
        <v>5564.5648848155724</v>
      </c>
      <c r="P29" s="3"/>
      <c r="Q29" s="6"/>
      <c r="R29" s="6"/>
    </row>
    <row r="30" spans="1:18" x14ac:dyDescent="0.25">
      <c r="A30" s="2" t="s">
        <v>7</v>
      </c>
      <c r="B30" s="2" t="s">
        <v>8</v>
      </c>
      <c r="C30" s="2">
        <v>3</v>
      </c>
      <c r="D30" s="2">
        <v>2015</v>
      </c>
      <c r="E30" s="2">
        <v>2614.25</v>
      </c>
      <c r="F30" s="2">
        <v>1284008.75</v>
      </c>
      <c r="G30" s="5">
        <v>8.2500000000000004E-2</v>
      </c>
      <c r="H30" s="5">
        <f t="shared" si="0"/>
        <v>0.50839528936231937</v>
      </c>
      <c r="I30" s="2">
        <v>326.392</v>
      </c>
      <c r="J30" s="9">
        <v>11374337.800000001</v>
      </c>
      <c r="K30" s="6"/>
      <c r="Q30" s="6"/>
      <c r="R30" s="6"/>
    </row>
    <row r="31" spans="1:18" x14ac:dyDescent="0.25">
      <c r="A31" s="2" t="s">
        <v>7</v>
      </c>
      <c r="B31" s="2" t="s">
        <v>8</v>
      </c>
      <c r="C31" s="2">
        <v>3</v>
      </c>
      <c r="D31" s="2">
        <v>2016</v>
      </c>
      <c r="E31" s="2">
        <v>1480.75</v>
      </c>
      <c r="F31" s="2">
        <v>647474</v>
      </c>
      <c r="G31" s="5">
        <v>8.9300000000000004E-2</v>
      </c>
      <c r="H31" s="5">
        <f t="shared" si="0"/>
        <v>0.53398592067017359</v>
      </c>
      <c r="I31" s="2">
        <v>172.87100000000001</v>
      </c>
      <c r="J31" s="9">
        <v>5934145.0250000004</v>
      </c>
      <c r="K31" s="6"/>
      <c r="Q31" s="6"/>
      <c r="R31" s="6"/>
    </row>
    <row r="32" spans="1:18" x14ac:dyDescent="0.25">
      <c r="A32" s="2" t="s">
        <v>7</v>
      </c>
      <c r="B32" s="2" t="s">
        <v>8</v>
      </c>
      <c r="C32" s="2">
        <v>3</v>
      </c>
      <c r="D32" s="2">
        <v>2017</v>
      </c>
      <c r="E32" s="2">
        <v>1656.5</v>
      </c>
      <c r="F32" s="2">
        <v>683543.25</v>
      </c>
      <c r="G32" s="5">
        <v>7.0199999999999999E-2</v>
      </c>
      <c r="H32" s="5">
        <f t="shared" si="0"/>
        <v>0.55197970282056041</v>
      </c>
      <c r="I32" s="2">
        <v>188.65100000000001</v>
      </c>
      <c r="J32" s="9">
        <v>6389031.0750000002</v>
      </c>
      <c r="K32" s="6"/>
      <c r="Q32" s="6"/>
      <c r="R32" s="6"/>
    </row>
    <row r="33" spans="1:18" x14ac:dyDescent="0.25">
      <c r="A33" s="2" t="s">
        <v>7</v>
      </c>
      <c r="B33" s="2" t="s">
        <v>8</v>
      </c>
      <c r="C33" s="2">
        <v>4</v>
      </c>
      <c r="D33" s="2">
        <v>2008</v>
      </c>
      <c r="E33" s="2">
        <v>422.5</v>
      </c>
      <c r="F33" s="2">
        <v>39821.25</v>
      </c>
      <c r="G33" s="5">
        <v>0.218</v>
      </c>
      <c r="H33" s="5">
        <f t="shared" si="0"/>
        <v>2.9836833349028473</v>
      </c>
      <c r="I33" s="2">
        <v>59.406999999999996</v>
      </c>
      <c r="J33" s="9">
        <v>486466.7</v>
      </c>
      <c r="K33" s="6"/>
      <c r="Q33" s="6"/>
      <c r="R33" s="6"/>
    </row>
    <row r="34" spans="1:18" x14ac:dyDescent="0.25">
      <c r="A34" s="2" t="s">
        <v>7</v>
      </c>
      <c r="B34" s="2" t="s">
        <v>8</v>
      </c>
      <c r="C34" s="2">
        <v>4</v>
      </c>
      <c r="D34" s="2">
        <v>2009</v>
      </c>
      <c r="E34" s="2">
        <v>458.5</v>
      </c>
      <c r="F34" s="2">
        <v>30026.25</v>
      </c>
      <c r="G34" s="5">
        <v>0.1726</v>
      </c>
      <c r="H34" s="5">
        <f t="shared" si="0"/>
        <v>2.1462553598934266</v>
      </c>
      <c r="I34" s="2">
        <v>32.222000000000001</v>
      </c>
      <c r="J34" s="9">
        <v>371267.875</v>
      </c>
      <c r="K34" s="6"/>
      <c r="Q34" s="6"/>
      <c r="R34" s="6"/>
    </row>
    <row r="35" spans="1:18" x14ac:dyDescent="0.25">
      <c r="A35" s="2" t="s">
        <v>7</v>
      </c>
      <c r="B35" s="2" t="s">
        <v>8</v>
      </c>
      <c r="C35" s="2">
        <v>4</v>
      </c>
      <c r="D35" s="2">
        <v>2010</v>
      </c>
      <c r="E35" s="2">
        <v>412.25</v>
      </c>
      <c r="F35" s="2">
        <v>41813.25</v>
      </c>
      <c r="G35" s="5">
        <v>0.1111</v>
      </c>
      <c r="H35" s="5">
        <f t="shared" si="0"/>
        <v>1.4545150161731031</v>
      </c>
      <c r="I35" s="2">
        <v>30.408999999999999</v>
      </c>
      <c r="J35" s="9">
        <v>467400.9</v>
      </c>
      <c r="K35" s="6"/>
      <c r="Q35" s="6"/>
      <c r="R35" s="6"/>
    </row>
    <row r="36" spans="1:18" x14ac:dyDescent="0.25">
      <c r="A36" s="2" t="s">
        <v>7</v>
      </c>
      <c r="B36" s="2" t="s">
        <v>8</v>
      </c>
      <c r="C36" s="2">
        <v>4</v>
      </c>
      <c r="D36" s="2">
        <v>2011</v>
      </c>
      <c r="E36" s="2">
        <v>562.25</v>
      </c>
      <c r="F36" s="2">
        <v>35684.25</v>
      </c>
      <c r="G36" s="5">
        <v>0.1517</v>
      </c>
      <c r="H36" s="5">
        <f t="shared" si="0"/>
        <v>2.2418854256429657</v>
      </c>
      <c r="I36" s="2">
        <v>40</v>
      </c>
      <c r="J36" s="9">
        <v>514629.65</v>
      </c>
      <c r="K36" s="6"/>
      <c r="Q36" s="6"/>
      <c r="R36" s="6"/>
    </row>
    <row r="37" spans="1:18" x14ac:dyDescent="0.25">
      <c r="A37" s="2" t="s">
        <v>7</v>
      </c>
      <c r="B37" s="2" t="s">
        <v>8</v>
      </c>
      <c r="C37" s="2">
        <v>4</v>
      </c>
      <c r="D37" s="2">
        <v>2012</v>
      </c>
      <c r="E37" s="2">
        <v>867</v>
      </c>
      <c r="F37" s="2">
        <v>92937.25</v>
      </c>
      <c r="G37" s="5">
        <v>0.11890000000000001</v>
      </c>
      <c r="H37" s="5">
        <f t="shared" si="0"/>
        <v>1.5101802560329685</v>
      </c>
      <c r="I37" s="2">
        <v>70.176000000000002</v>
      </c>
      <c r="J37" s="9">
        <v>1213184.325</v>
      </c>
      <c r="K37" s="6"/>
      <c r="Q37" s="6"/>
      <c r="R37" s="6"/>
    </row>
    <row r="38" spans="1:18" x14ac:dyDescent="0.25">
      <c r="A38" s="2" t="s">
        <v>7</v>
      </c>
      <c r="B38" s="2" t="s">
        <v>8</v>
      </c>
      <c r="C38" s="2">
        <v>4</v>
      </c>
      <c r="D38" s="2">
        <v>2013</v>
      </c>
      <c r="E38" s="2">
        <v>801.75</v>
      </c>
      <c r="F38" s="2">
        <v>53156.5</v>
      </c>
      <c r="G38" s="5">
        <v>0.12989999999999999</v>
      </c>
      <c r="H38" s="5">
        <f t="shared" si="0"/>
        <v>2.0391861766670116</v>
      </c>
      <c r="I38" s="3">
        <v>54.198</v>
      </c>
      <c r="J38" s="9">
        <v>832652.4</v>
      </c>
      <c r="K38" s="3">
        <f>((M53*0.08)+((O53+Q53)*0.15))/2000</f>
        <v>38.272500000000001</v>
      </c>
      <c r="L38" s="6"/>
      <c r="M38" s="2">
        <v>301</v>
      </c>
      <c r="N38" s="7">
        <f>MIN(I38,K38,L38,M38)</f>
        <v>38.272500000000001</v>
      </c>
      <c r="O38" s="8">
        <f>20*(N38-(((F38*$N$44)*0.23)/2000))</f>
        <v>652.60061336316744</v>
      </c>
      <c r="P38" s="3">
        <f>(N38+N39)/2</f>
        <v>49.401924062500001</v>
      </c>
      <c r="Q38" s="3">
        <f>20*(P38-((((F38*$N$44)+(F39*$N$45))/2)*0.23/2000))</f>
        <v>823.22849621827299</v>
      </c>
      <c r="R38" s="21">
        <f>Q38/P38</f>
        <v>16.663895421902588</v>
      </c>
    </row>
    <row r="39" spans="1:18" x14ac:dyDescent="0.25">
      <c r="A39" s="2" t="s">
        <v>7</v>
      </c>
      <c r="B39" s="2" t="s">
        <v>8</v>
      </c>
      <c r="C39" s="2">
        <v>4</v>
      </c>
      <c r="D39" s="2">
        <v>2014</v>
      </c>
      <c r="E39" s="2">
        <v>852.25</v>
      </c>
      <c r="F39" s="2">
        <v>101976.25</v>
      </c>
      <c r="G39" s="5">
        <v>0.12790000000000001</v>
      </c>
      <c r="H39" s="5">
        <f t="shared" si="0"/>
        <v>2.0732474473222933</v>
      </c>
      <c r="I39" s="3">
        <v>105.711</v>
      </c>
      <c r="J39" s="9">
        <v>1360979.1</v>
      </c>
      <c r="K39" s="3">
        <f>((M54*0.08)+((O54+Q54)*0.15))/2000</f>
        <v>60.531348124999994</v>
      </c>
      <c r="L39" s="6"/>
      <c r="M39" s="2">
        <v>301</v>
      </c>
      <c r="N39" s="7">
        <f>MIN(I39,K39,L39,M39)</f>
        <v>60.531348124999994</v>
      </c>
      <c r="O39" s="8">
        <f>20*(N39-(((F39*$N$45)*0.23)/2000))</f>
        <v>993.85637907337855</v>
      </c>
      <c r="Q39" s="6"/>
      <c r="R39" s="6"/>
    </row>
    <row r="40" spans="1:18" x14ac:dyDescent="0.25">
      <c r="A40" s="2" t="s">
        <v>7</v>
      </c>
      <c r="B40" s="2" t="s">
        <v>8</v>
      </c>
      <c r="C40" s="2">
        <v>4</v>
      </c>
      <c r="D40" s="2">
        <v>2015</v>
      </c>
      <c r="E40" s="2">
        <v>1372.5</v>
      </c>
      <c r="F40" s="2">
        <v>212151.25</v>
      </c>
      <c r="G40" s="5">
        <v>0.1358</v>
      </c>
      <c r="H40" s="5">
        <f t="shared" si="0"/>
        <v>2.1106168358659212</v>
      </c>
      <c r="I40" s="2">
        <v>223.88499999999999</v>
      </c>
      <c r="J40" s="9">
        <v>2688865.0249999999</v>
      </c>
      <c r="Q40" s="6"/>
      <c r="R40" s="6"/>
    </row>
    <row r="41" spans="1:18" x14ac:dyDescent="0.25">
      <c r="A41" s="2" t="s">
        <v>7</v>
      </c>
      <c r="B41" s="2" t="s">
        <v>8</v>
      </c>
      <c r="C41" s="2">
        <v>4</v>
      </c>
      <c r="D41" s="2">
        <v>2016</v>
      </c>
      <c r="E41" s="2">
        <v>358.25</v>
      </c>
      <c r="F41" s="2">
        <v>33199.75</v>
      </c>
      <c r="G41" s="5">
        <v>9.11E-2</v>
      </c>
      <c r="H41" s="5">
        <f t="shared" si="0"/>
        <v>1.3869983960722596</v>
      </c>
      <c r="I41" s="2">
        <v>23.024000000000001</v>
      </c>
      <c r="J41" s="9">
        <v>474637.82500000001</v>
      </c>
      <c r="Q41" s="6"/>
      <c r="R41" s="6"/>
    </row>
    <row r="42" spans="1:18" x14ac:dyDescent="0.25">
      <c r="A42" s="2" t="s">
        <v>7</v>
      </c>
      <c r="B42" s="2" t="s">
        <v>8</v>
      </c>
      <c r="C42" s="2">
        <v>4</v>
      </c>
      <c r="D42" s="2">
        <v>2017</v>
      </c>
      <c r="E42" s="2">
        <v>27.25</v>
      </c>
      <c r="F42" s="2">
        <v>1078.25</v>
      </c>
      <c r="G42" s="5">
        <v>0.1124</v>
      </c>
      <c r="H42" s="5">
        <f t="shared" si="0"/>
        <v>1.6118710874101554</v>
      </c>
      <c r="I42" s="2">
        <v>0.86899999999999999</v>
      </c>
      <c r="J42" s="9">
        <v>21529.075000000001</v>
      </c>
      <c r="K42" s="49"/>
      <c r="L42" s="50" t="s">
        <v>48</v>
      </c>
      <c r="M42" s="50"/>
      <c r="N42" s="51"/>
      <c r="Q42" s="6"/>
      <c r="R42" s="6"/>
    </row>
    <row r="43" spans="1:18" x14ac:dyDescent="0.25">
      <c r="K43" s="37"/>
      <c r="L43" s="38" t="s">
        <v>49</v>
      </c>
      <c r="M43" s="38" t="s">
        <v>50</v>
      </c>
      <c r="N43" s="42" t="s">
        <v>52</v>
      </c>
      <c r="P43" s="3">
        <f>P8+P18+P28+P38</f>
        <v>1359.7630533125</v>
      </c>
      <c r="Q43" s="3">
        <f>Q8+Q18+Q28+Q38</f>
        <v>19876.784116250004</v>
      </c>
      <c r="R43" s="52">
        <f>Q43/P43</f>
        <v>14.617829237107484</v>
      </c>
    </row>
    <row r="44" spans="1:18" x14ac:dyDescent="0.25">
      <c r="A44" s="3"/>
      <c r="B44" s="2" t="s">
        <v>34</v>
      </c>
      <c r="K44" s="37">
        <v>2013</v>
      </c>
      <c r="L44" s="38">
        <f>F8+F18+F28+F38</f>
        <v>3950306</v>
      </c>
      <c r="M44" s="38">
        <v>3646244</v>
      </c>
      <c r="N44" s="57">
        <f>M44/L44</f>
        <v>0.92302824135649242</v>
      </c>
      <c r="O44" s="55"/>
      <c r="P44" s="56"/>
      <c r="Q44" s="6"/>
      <c r="R44" s="6"/>
    </row>
    <row r="45" spans="1:18" s="8" customFormat="1" x14ac:dyDescent="0.25">
      <c r="A45" s="6"/>
      <c r="G45" s="5"/>
      <c r="H45" s="5"/>
      <c r="J45" s="9"/>
      <c r="K45" s="37">
        <v>2014</v>
      </c>
      <c r="L45" s="38">
        <f>F9+F19+F29+F39</f>
        <v>2940491.25</v>
      </c>
      <c r="M45" s="38">
        <v>2717649</v>
      </c>
      <c r="N45" s="57">
        <f>M45/L45</f>
        <v>0.92421597921775822</v>
      </c>
      <c r="O45" s="55"/>
      <c r="P45" s="56"/>
      <c r="Q45" s="6"/>
      <c r="R45" s="6"/>
    </row>
    <row r="46" spans="1:18" s="8" customFormat="1" x14ac:dyDescent="0.25">
      <c r="A46" s="6"/>
      <c r="G46" s="5"/>
      <c r="H46" s="5"/>
      <c r="J46" s="9"/>
      <c r="K46" s="44" t="s">
        <v>51</v>
      </c>
      <c r="L46" s="45"/>
      <c r="M46" s="45"/>
      <c r="N46" s="48"/>
      <c r="Q46" s="6"/>
      <c r="R46" s="6"/>
    </row>
    <row r="47" spans="1:18" ht="63" customHeight="1" x14ac:dyDescent="0.25">
      <c r="A47" s="59" t="s">
        <v>35</v>
      </c>
      <c r="B47" s="59"/>
      <c r="C47" s="59"/>
      <c r="D47" s="9">
        <f>AVERAGE(N8:N9)+AVERAGE(N18:N19)+AVERAGE(N28:N29)+AVERAGE(N38:N39)</f>
        <v>1359.7630533125</v>
      </c>
      <c r="K47" s="6"/>
      <c r="L47" s="6"/>
      <c r="M47" s="53"/>
      <c r="N47" s="54"/>
      <c r="O47" s="54"/>
      <c r="P47" s="6"/>
      <c r="Q47" s="6"/>
      <c r="R47" s="6"/>
    </row>
    <row r="48" spans="1:18" ht="40.5" customHeight="1" x14ac:dyDescent="0.25">
      <c r="A48" s="59" t="s">
        <v>36</v>
      </c>
      <c r="B48" s="59"/>
      <c r="C48" s="59"/>
      <c r="D48" s="9">
        <f>AVERAGE(O8:O9)+AVERAGE(O18:O19)+AVERAGE(O28:O29)+AVERAGE(O38:O39)</f>
        <v>19876.784116249997</v>
      </c>
      <c r="K48" s="6"/>
      <c r="L48" s="6"/>
      <c r="M48" s="54"/>
      <c r="N48" s="54"/>
      <c r="O48" s="54"/>
      <c r="P48" s="6"/>
      <c r="Q48" s="6"/>
      <c r="R48" s="6"/>
    </row>
    <row r="49" spans="1:18" ht="45.75" customHeight="1" x14ac:dyDescent="0.25">
      <c r="A49" s="59" t="s">
        <v>37</v>
      </c>
      <c r="B49" s="59"/>
      <c r="C49" s="59"/>
      <c r="D49" s="9">
        <f>D48*(D47-250)/D47</f>
        <v>16222.326806973126</v>
      </c>
      <c r="K49" s="6"/>
      <c r="L49" s="6"/>
      <c r="M49" s="6"/>
      <c r="N49" s="6"/>
      <c r="O49" s="6"/>
      <c r="P49" s="6"/>
      <c r="Q49" s="6"/>
      <c r="R49" s="6"/>
    </row>
    <row r="50" spans="1:18" x14ac:dyDescent="0.25">
      <c r="K50" s="3" t="s">
        <v>12</v>
      </c>
      <c r="L50" s="3"/>
      <c r="M50" s="3"/>
      <c r="N50" s="3"/>
      <c r="O50" s="3"/>
      <c r="P50" s="3"/>
    </row>
    <row r="51" spans="1:18" x14ac:dyDescent="0.25">
      <c r="B51" s="13" t="s">
        <v>22</v>
      </c>
      <c r="C51" s="24"/>
      <c r="D51" s="24"/>
      <c r="E51" s="24"/>
      <c r="F51" s="24"/>
      <c r="G51" s="25"/>
      <c r="H51" s="25"/>
      <c r="I51" s="14"/>
      <c r="K51" s="12" t="s">
        <v>13</v>
      </c>
      <c r="L51" s="13" t="s">
        <v>19</v>
      </c>
      <c r="M51" s="14">
        <v>1000</v>
      </c>
      <c r="N51" s="13" t="s">
        <v>18</v>
      </c>
      <c r="O51" s="14">
        <v>150000</v>
      </c>
      <c r="P51" s="13" t="s">
        <v>20</v>
      </c>
      <c r="Q51" s="14">
        <v>150000</v>
      </c>
    </row>
    <row r="52" spans="1:18" x14ac:dyDescent="0.25">
      <c r="B52" s="16" t="s">
        <v>23</v>
      </c>
      <c r="C52" s="26" t="s">
        <v>27</v>
      </c>
      <c r="D52" s="27" t="s">
        <v>26</v>
      </c>
      <c r="E52" s="27" t="s">
        <v>25</v>
      </c>
      <c r="F52" s="27"/>
      <c r="G52" s="28" t="s">
        <v>16</v>
      </c>
      <c r="H52" s="27" t="s">
        <v>26</v>
      </c>
      <c r="I52" s="17"/>
      <c r="K52" s="15" t="s">
        <v>14</v>
      </c>
      <c r="L52" s="16" t="s">
        <v>15</v>
      </c>
      <c r="M52" s="17" t="s">
        <v>16</v>
      </c>
      <c r="N52" s="16" t="s">
        <v>17</v>
      </c>
      <c r="O52" s="17" t="s">
        <v>16</v>
      </c>
      <c r="P52" s="16" t="s">
        <v>17</v>
      </c>
      <c r="Q52" s="17" t="s">
        <v>16</v>
      </c>
    </row>
    <row r="53" spans="1:18" x14ac:dyDescent="0.25">
      <c r="B53" s="16">
        <v>2008</v>
      </c>
      <c r="C53" s="27">
        <f>F3+F4+F13+F14+F23+F24+F33+F34</f>
        <v>16054867.25</v>
      </c>
      <c r="D53" s="27">
        <f>ABS(C53-$C$62)</f>
        <v>7767447.722222222</v>
      </c>
      <c r="E53" s="27"/>
      <c r="F53" s="27">
        <v>2008</v>
      </c>
      <c r="G53" s="27">
        <f>J3+J4+J13+J14+J23+J24+J33+J34</f>
        <v>139486663.83500001</v>
      </c>
      <c r="H53" s="27">
        <f>ABS(G53-$G$62)</f>
        <v>64942077.047777787</v>
      </c>
      <c r="I53" s="17"/>
      <c r="K53" s="15">
        <v>2013</v>
      </c>
      <c r="L53" s="16">
        <v>486</v>
      </c>
      <c r="M53" s="17">
        <f>L53*M51</f>
        <v>486000</v>
      </c>
      <c r="N53" s="16">
        <v>26</v>
      </c>
      <c r="O53" s="17">
        <f>(N53*1000)*$O$51/1000000</f>
        <v>3900</v>
      </c>
      <c r="P53" s="16">
        <v>1648</v>
      </c>
      <c r="Q53" s="17">
        <f>(P53*1000)*$O$51/1000000</f>
        <v>247200</v>
      </c>
    </row>
    <row r="54" spans="1:18" x14ac:dyDescent="0.25">
      <c r="B54" s="16">
        <f>B53+1</f>
        <v>2009</v>
      </c>
      <c r="C54" s="27">
        <f t="shared" ref="C54:C61" si="3">F4+F5+F14+F15+F24+F25+F34+F35</f>
        <v>14737422.25</v>
      </c>
      <c r="D54" s="27">
        <f t="shared" ref="D54:D61" si="4">ABS(C54-$C$62)</f>
        <v>6450002.722222222</v>
      </c>
      <c r="E54" s="27"/>
      <c r="F54" s="27">
        <f>F53+1</f>
        <v>2009</v>
      </c>
      <c r="G54" s="27">
        <f t="shared" ref="G54:G61" si="5">J4+J5+J14+J15+J24+J25+J34+J35</f>
        <v>129824691.35000002</v>
      </c>
      <c r="H54" s="27">
        <f t="shared" ref="H54:H61" si="6">ABS(G54-$G$62)</f>
        <v>55280104.562777802</v>
      </c>
      <c r="I54" s="17"/>
      <c r="K54" s="18">
        <v>2014</v>
      </c>
      <c r="L54" s="19">
        <v>869</v>
      </c>
      <c r="M54" s="20">
        <f>L54*M51</f>
        <v>869000</v>
      </c>
      <c r="N54" s="19">
        <v>2.1962000000000002</v>
      </c>
      <c r="O54" s="20">
        <f>(N54*1000)*$O$51/1000000</f>
        <v>329.43000000000006</v>
      </c>
      <c r="P54" s="19">
        <f>14.4793+2274.111</f>
        <v>2288.5902999999998</v>
      </c>
      <c r="Q54" s="20">
        <f>(P54*1000)*$O$51/1000000</f>
        <v>343288.54499999998</v>
      </c>
    </row>
    <row r="55" spans="1:18" x14ac:dyDescent="0.25">
      <c r="B55" s="16">
        <f t="shared" ref="B55:B61" si="7">B54+1</f>
        <v>2010</v>
      </c>
      <c r="C55" s="27">
        <f t="shared" si="3"/>
        <v>10902714.5</v>
      </c>
      <c r="D55" s="27">
        <f t="shared" si="4"/>
        <v>2615294.972222222</v>
      </c>
      <c r="E55" s="27"/>
      <c r="F55" s="27">
        <f t="shared" ref="F55:F61" si="8">F54+1</f>
        <v>2010</v>
      </c>
      <c r="G55" s="27">
        <f t="shared" si="5"/>
        <v>96888829.625000015</v>
      </c>
      <c r="H55" s="27">
        <f t="shared" si="6"/>
        <v>22344242.837777793</v>
      </c>
      <c r="I55" s="17"/>
      <c r="K55" s="3" t="s">
        <v>39</v>
      </c>
      <c r="L55" s="3"/>
      <c r="M55" s="3"/>
      <c r="N55" s="3"/>
      <c r="O55" s="3"/>
      <c r="P55" s="3"/>
    </row>
    <row r="56" spans="1:18" x14ac:dyDescent="0.25">
      <c r="B56" s="16">
        <f t="shared" si="7"/>
        <v>2011</v>
      </c>
      <c r="C56" s="27">
        <f t="shared" si="3"/>
        <v>6041785.25</v>
      </c>
      <c r="D56" s="27">
        <f t="shared" si="4"/>
        <v>2245634.277777778</v>
      </c>
      <c r="E56" s="27"/>
      <c r="F56" s="27">
        <f t="shared" si="8"/>
        <v>2011</v>
      </c>
      <c r="G56" s="27">
        <f t="shared" si="5"/>
        <v>54655476.050000004</v>
      </c>
      <c r="H56" s="27">
        <f t="shared" si="6"/>
        <v>19889110.737222217</v>
      </c>
      <c r="I56" s="17"/>
    </row>
    <row r="57" spans="1:18" ht="15.75" thickBot="1" x14ac:dyDescent="0.3">
      <c r="B57" s="16">
        <f t="shared" si="7"/>
        <v>2012</v>
      </c>
      <c r="C57" s="27">
        <f t="shared" si="3"/>
        <v>6144157.25</v>
      </c>
      <c r="D57" s="27">
        <f t="shared" si="4"/>
        <v>2143262.277777778</v>
      </c>
      <c r="E57" s="27"/>
      <c r="F57" s="27">
        <f t="shared" si="8"/>
        <v>2012</v>
      </c>
      <c r="G57" s="27">
        <f t="shared" si="5"/>
        <v>56192986.375</v>
      </c>
      <c r="H57" s="27">
        <f t="shared" si="6"/>
        <v>18351600.412222221</v>
      </c>
      <c r="I57" s="17"/>
    </row>
    <row r="58" spans="1:18" ht="15.75" thickBot="1" x14ac:dyDescent="0.3">
      <c r="B58" s="29">
        <f t="shared" si="7"/>
        <v>2013</v>
      </c>
      <c r="C58" s="27">
        <f t="shared" si="3"/>
        <v>6890797.25</v>
      </c>
      <c r="D58" s="22">
        <f t="shared" si="4"/>
        <v>1396622.277777778</v>
      </c>
      <c r="E58" s="27"/>
      <c r="F58" s="22">
        <f t="shared" si="8"/>
        <v>2013</v>
      </c>
      <c r="G58" s="27">
        <f t="shared" si="5"/>
        <v>62473991.200000003</v>
      </c>
      <c r="H58" s="22">
        <f t="shared" si="6"/>
        <v>12070595.587222219</v>
      </c>
      <c r="I58" s="17"/>
    </row>
    <row r="59" spans="1:18" x14ac:dyDescent="0.25">
      <c r="B59" s="16">
        <f t="shared" si="7"/>
        <v>2014</v>
      </c>
      <c r="C59" s="27">
        <f t="shared" si="3"/>
        <v>5632136</v>
      </c>
      <c r="D59" s="27">
        <f t="shared" si="4"/>
        <v>2655283.527777778</v>
      </c>
      <c r="E59" s="27"/>
      <c r="F59" s="27">
        <f t="shared" si="8"/>
        <v>2014</v>
      </c>
      <c r="G59" s="27">
        <f t="shared" si="5"/>
        <v>51988875.849999994</v>
      </c>
      <c r="H59" s="27">
        <f t="shared" si="6"/>
        <v>22555710.937222227</v>
      </c>
      <c r="I59" s="17"/>
    </row>
    <row r="60" spans="1:18" x14ac:dyDescent="0.25">
      <c r="B60" s="16">
        <f t="shared" si="7"/>
        <v>2015</v>
      </c>
      <c r="C60" s="27">
        <f t="shared" si="3"/>
        <v>4803212.75</v>
      </c>
      <c r="D60" s="27">
        <f t="shared" si="4"/>
        <v>3484206.777777778</v>
      </c>
      <c r="E60" s="27"/>
      <c r="F60" s="27">
        <f t="shared" si="8"/>
        <v>2015</v>
      </c>
      <c r="G60" s="27">
        <f t="shared" si="5"/>
        <v>46176496.549999997</v>
      </c>
      <c r="H60" s="27">
        <f t="shared" si="6"/>
        <v>28368090.237222224</v>
      </c>
      <c r="I60" s="17"/>
    </row>
    <row r="61" spans="1:18" x14ac:dyDescent="0.25">
      <c r="B61" s="16">
        <f t="shared" si="7"/>
        <v>2016</v>
      </c>
      <c r="C61" s="27">
        <f t="shared" si="3"/>
        <v>3379683.25</v>
      </c>
      <c r="D61" s="27">
        <f t="shared" si="4"/>
        <v>4907736.277777778</v>
      </c>
      <c r="E61" s="27"/>
      <c r="F61" s="27">
        <f t="shared" si="8"/>
        <v>2016</v>
      </c>
      <c r="G61" s="27">
        <f t="shared" si="5"/>
        <v>33213270.249999996</v>
      </c>
      <c r="H61" s="27">
        <f t="shared" si="6"/>
        <v>41331316.537222221</v>
      </c>
      <c r="I61" s="17"/>
    </row>
    <row r="62" spans="1:18" x14ac:dyDescent="0.25">
      <c r="B62" s="16" t="s">
        <v>24</v>
      </c>
      <c r="C62" s="27">
        <f>AVERAGE(C53:C61)</f>
        <v>8287419.527777778</v>
      </c>
      <c r="D62" s="23">
        <f>MIN(D53:D61)</f>
        <v>1396622.277777778</v>
      </c>
      <c r="E62" s="27" t="s">
        <v>28</v>
      </c>
      <c r="F62" s="27"/>
      <c r="G62" s="27">
        <f>AVERAGE(G53:G61)</f>
        <v>74544586.787222221</v>
      </c>
      <c r="H62" s="23">
        <f>MIN(H53:H61)</f>
        <v>12070595.587222219</v>
      </c>
      <c r="I62" s="17" t="s">
        <v>28</v>
      </c>
    </row>
    <row r="63" spans="1:18" x14ac:dyDescent="0.25">
      <c r="B63" s="16"/>
      <c r="C63" s="27"/>
      <c r="D63" s="27"/>
      <c r="E63" s="27"/>
      <c r="F63" s="27"/>
      <c r="G63" s="30"/>
      <c r="H63" s="30"/>
      <c r="I63" s="17"/>
    </row>
    <row r="64" spans="1:18" x14ac:dyDescent="0.25">
      <c r="B64" s="19" t="s">
        <v>38</v>
      </c>
      <c r="C64" s="31"/>
      <c r="D64" s="31"/>
      <c r="E64" s="31"/>
      <c r="F64" s="31"/>
      <c r="G64" s="32"/>
      <c r="H64" s="32"/>
      <c r="I64" s="20"/>
    </row>
    <row r="66" spans="1:11" x14ac:dyDescent="0.25">
      <c r="A66" s="13" t="s">
        <v>41</v>
      </c>
      <c r="B66" s="24"/>
      <c r="C66" s="24"/>
      <c r="D66" s="24"/>
      <c r="E66" s="33"/>
      <c r="F66" s="33"/>
      <c r="G66" s="34"/>
      <c r="H66" s="34"/>
      <c r="I66" s="33"/>
      <c r="J66" s="35"/>
      <c r="K66" s="36"/>
    </row>
    <row r="67" spans="1:11" ht="45.75" customHeight="1" x14ac:dyDescent="0.25">
      <c r="A67" s="37"/>
      <c r="B67" s="38"/>
      <c r="C67" s="39" t="s">
        <v>2</v>
      </c>
      <c r="D67" s="39" t="s">
        <v>3</v>
      </c>
      <c r="E67" s="39" t="s">
        <v>42</v>
      </c>
      <c r="F67" s="39" t="s">
        <v>43</v>
      </c>
      <c r="G67" s="39"/>
      <c r="H67" s="40"/>
      <c r="I67" s="38"/>
      <c r="J67" s="41"/>
      <c r="K67" s="42"/>
    </row>
    <row r="68" spans="1:11" x14ac:dyDescent="0.25">
      <c r="A68" s="37"/>
      <c r="B68" s="38"/>
      <c r="C68" s="38">
        <v>1</v>
      </c>
      <c r="D68" s="38">
        <v>2013</v>
      </c>
      <c r="E68" s="43">
        <v>10.79</v>
      </c>
      <c r="F68" s="43">
        <f>(E68+E69)/2</f>
        <v>9.6499999999999986</v>
      </c>
      <c r="G68" s="38"/>
      <c r="H68" s="40"/>
      <c r="I68" s="38"/>
      <c r="J68" s="41"/>
      <c r="K68" s="42"/>
    </row>
    <row r="69" spans="1:11" x14ac:dyDescent="0.25">
      <c r="A69" s="37"/>
      <c r="B69" s="38"/>
      <c r="C69" s="38">
        <v>1</v>
      </c>
      <c r="D69" s="38">
        <v>2014</v>
      </c>
      <c r="E69" s="43">
        <v>8.51</v>
      </c>
      <c r="F69" s="43"/>
      <c r="G69" s="40"/>
      <c r="H69" s="40"/>
      <c r="I69" s="38"/>
      <c r="J69" s="41"/>
      <c r="K69" s="42"/>
    </row>
    <row r="70" spans="1:11" x14ac:dyDescent="0.25">
      <c r="A70" s="37"/>
      <c r="B70" s="38"/>
      <c r="C70" s="38">
        <v>2</v>
      </c>
      <c r="D70" s="38">
        <v>2013</v>
      </c>
      <c r="E70" s="43">
        <v>10.14</v>
      </c>
      <c r="F70" s="43">
        <f>(E70+E71)/2</f>
        <v>10.365</v>
      </c>
      <c r="G70" s="40"/>
      <c r="H70" s="40"/>
      <c r="I70" s="38"/>
      <c r="J70" s="41"/>
      <c r="K70" s="42"/>
    </row>
    <row r="71" spans="1:11" x14ac:dyDescent="0.25">
      <c r="A71" s="37"/>
      <c r="B71" s="38"/>
      <c r="C71" s="38">
        <v>2</v>
      </c>
      <c r="D71" s="38">
        <v>2014</v>
      </c>
      <c r="E71" s="43">
        <v>10.59</v>
      </c>
      <c r="F71" s="43"/>
      <c r="G71" s="40"/>
      <c r="H71" s="40"/>
      <c r="I71" s="38"/>
      <c r="J71" s="41"/>
      <c r="K71" s="42"/>
    </row>
    <row r="72" spans="1:11" x14ac:dyDescent="0.25">
      <c r="A72" s="37"/>
      <c r="B72" s="38"/>
      <c r="C72" s="38">
        <v>3</v>
      </c>
      <c r="D72" s="38">
        <v>2013</v>
      </c>
      <c r="E72" s="43">
        <v>26.29</v>
      </c>
      <c r="F72" s="43">
        <f>(E72+E73)/2</f>
        <v>21.344999999999999</v>
      </c>
      <c r="G72" s="40"/>
      <c r="H72" s="40"/>
      <c r="I72" s="38"/>
      <c r="J72" s="41"/>
      <c r="K72" s="42"/>
    </row>
    <row r="73" spans="1:11" x14ac:dyDescent="0.25">
      <c r="A73" s="37"/>
      <c r="B73" s="38"/>
      <c r="C73" s="38">
        <v>3</v>
      </c>
      <c r="D73" s="38">
        <v>2014</v>
      </c>
      <c r="E73" s="43">
        <v>16.399999999999999</v>
      </c>
      <c r="F73" s="43"/>
      <c r="G73" s="40"/>
      <c r="H73" s="40"/>
      <c r="I73" s="38"/>
      <c r="J73" s="41"/>
      <c r="K73" s="42"/>
    </row>
    <row r="74" spans="1:11" x14ac:dyDescent="0.25">
      <c r="A74" s="37"/>
      <c r="B74" s="38"/>
      <c r="C74" s="38">
        <v>4</v>
      </c>
      <c r="D74" s="38">
        <v>2013</v>
      </c>
      <c r="E74" s="43">
        <v>1.97</v>
      </c>
      <c r="F74" s="43">
        <f>(E74+E75)/2</f>
        <v>2.6149999999999998</v>
      </c>
      <c r="G74" s="40"/>
      <c r="H74" s="40"/>
      <c r="I74" s="38"/>
      <c r="J74" s="41"/>
      <c r="K74" s="42"/>
    </row>
    <row r="75" spans="1:11" x14ac:dyDescent="0.25">
      <c r="A75" s="37"/>
      <c r="B75" s="38"/>
      <c r="C75" s="38">
        <v>4</v>
      </c>
      <c r="D75" s="38">
        <v>2014</v>
      </c>
      <c r="E75" s="43">
        <v>3.26</v>
      </c>
      <c r="F75" s="43"/>
      <c r="G75" s="40" t="s">
        <v>45</v>
      </c>
      <c r="H75" s="40"/>
      <c r="I75" s="38"/>
      <c r="J75" s="41"/>
      <c r="K75" s="42"/>
    </row>
    <row r="76" spans="1:11" x14ac:dyDescent="0.25">
      <c r="A76" s="37"/>
      <c r="B76" s="38"/>
      <c r="C76" s="38"/>
      <c r="D76" s="38"/>
      <c r="E76" s="38" t="s">
        <v>44</v>
      </c>
      <c r="F76" s="27">
        <f>INT(SUM(F68:F74))</f>
        <v>43</v>
      </c>
      <c r="G76" s="27">
        <f>F76*20</f>
        <v>860</v>
      </c>
      <c r="H76" s="40"/>
      <c r="I76" s="38"/>
      <c r="J76" s="41"/>
      <c r="K76" s="42"/>
    </row>
    <row r="77" spans="1:11" x14ac:dyDescent="0.25">
      <c r="A77" s="37" t="s">
        <v>47</v>
      </c>
      <c r="B77" s="38"/>
      <c r="C77" s="38"/>
      <c r="D77" s="38"/>
      <c r="E77" s="38"/>
      <c r="F77" s="38"/>
      <c r="G77" s="40"/>
      <c r="H77" s="40"/>
      <c r="I77" s="38"/>
      <c r="J77" s="41"/>
      <c r="K77" s="42"/>
    </row>
    <row r="78" spans="1:11" x14ac:dyDescent="0.25">
      <c r="A78" s="44" t="s">
        <v>46</v>
      </c>
      <c r="B78" s="45"/>
      <c r="C78" s="45"/>
      <c r="D78" s="45"/>
      <c r="E78" s="45"/>
      <c r="F78" s="45"/>
      <c r="G78" s="46"/>
      <c r="H78" s="46"/>
      <c r="I78" s="45"/>
      <c r="J78" s="47"/>
      <c r="K78" s="48"/>
    </row>
  </sheetData>
  <sortState ref="A2:T41">
    <sortCondition ref="B2:B41"/>
    <sortCondition ref="C2:C41"/>
    <sortCondition ref="D2:D41"/>
  </sortState>
  <mergeCells count="3">
    <mergeCell ref="A47:C47"/>
    <mergeCell ref="A48:C48"/>
    <mergeCell ref="A49:C49"/>
  </mergeCells>
  <pageMargins left="0.7" right="0.7" top="0.75" bottom="0.75" header="0.3" footer="0.3"/>
  <pageSetup paperSize="3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bb2122a-a215-4e7e-83c6-3ce9aa36b2bf">Draft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3B960FF394744AA66D55E0F858CF6" ma:contentTypeVersion="4" ma:contentTypeDescription="Create a new document." ma:contentTypeScope="" ma:versionID="7f89cddbb5b02f8a8e7e3a7a17ee856f">
  <xsd:schema xmlns:xsd="http://www.w3.org/2001/XMLSchema" xmlns:xs="http://www.w3.org/2001/XMLSchema" xmlns:p="http://schemas.microsoft.com/office/2006/metadata/properties" xmlns:ns2="1bb2122a-a215-4e7e-83c6-3ce9aa36b2bf" targetNamespace="http://schemas.microsoft.com/office/2006/metadata/properties" ma:root="true" ma:fieldsID="cdf747b696db64c8838fc965ac5232b9" ns2:_="">
    <xsd:import namespace="1bb2122a-a215-4e7e-83c6-3ce9aa36b2bf"/>
    <xsd:element name="properties">
      <xsd:complexType>
        <xsd:sequence>
          <xsd:element name="documentManagement">
            <xsd:complexType>
              <xsd:all>
                <xsd:element ref="ns2: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2122a-a215-4e7e-83c6-3ce9aa36b2bf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Draft" ma:description="Tracks Status of the Document" ma:format="Dropdown" ma:internalName="Status">
      <xsd:simpleType>
        <xsd:restriction base="dms:Choice">
          <xsd:enumeration value="Draft"/>
          <xsd:enumeration value="Under Review"/>
          <xsd:enumeration value="Fi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BE07B-A23E-4413-BA64-1BA041CBC47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1bb2122a-a215-4e7e-83c6-3ce9aa36b2bf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B074981-2EAD-4540-BDA6-30F578A30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2122a-a215-4e7e-83c6-3ce9aa36b2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5168C8-0C26-42C8-9B56-F1FE097436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Dahl, Donald</dc:creator>
  <cp:lastModifiedBy>thiggins</cp:lastModifiedBy>
  <cp:lastPrinted>2019-07-11T15:53:14Z</cp:lastPrinted>
  <dcterms:created xsi:type="dcterms:W3CDTF">2019-03-29T14:09:26Z</dcterms:created>
  <dcterms:modified xsi:type="dcterms:W3CDTF">2019-07-11T17:20:41Z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0x010100DF13B960FF394744AA66D55E0F858CF6</vt:lpwstr>
  </property>
</Properties>
</file>