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95" windowWidth="23250" windowHeight="12795" tabRatio="773"/>
  </bookViews>
  <sheets>
    <sheet name="Fall 2018" sheetId="15" r:id="rId1"/>
    <sheet name="FY20 Models - Proposed" sheetId="7" r:id="rId2"/>
    <sheet name="DDS Active Treatment" sheetId="9" r:id="rId3"/>
    <sheet name="Transportation Model" sheetId="3" r:id="rId4"/>
    <sheet name="CURRENT RATES IN REG" sheetId="6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Print_Area" localSheetId="4">'CURRENT RATES IN REG'!$B$1:$W$61</definedName>
    <definedName name="_xlnm.Print_Area" localSheetId="2">'DDS Active Treatment'!$B$3:$M$85</definedName>
    <definedName name="_xlnm.Print_Area" localSheetId="1">'FY20 Models - Proposed'!$B$3:$W$56</definedName>
    <definedName name="_xlnm.Print_Area" localSheetId="3">'Transportation Model'!$A$2:$H$37</definedName>
    <definedName name="_xlnm.Print_Titles" localSheetId="0">'Fall 2018'!$A:$A</definedName>
  </definedNames>
  <calcPr calcId="145621"/>
</workbook>
</file>

<file path=xl/calcChain.xml><?xml version="1.0" encoding="utf-8"?>
<calcChain xmlns="http://schemas.openxmlformats.org/spreadsheetml/2006/main">
  <c r="K39" i="7" l="1"/>
  <c r="R44" i="7"/>
  <c r="R43" i="7"/>
  <c r="M44" i="7"/>
  <c r="M43" i="7"/>
  <c r="G26" i="7" l="1"/>
  <c r="C38" i="7" l="1"/>
  <c r="C18" i="9" s="1"/>
  <c r="BO24" i="15"/>
  <c r="BN24" i="15"/>
  <c r="BM24" i="15"/>
  <c r="BL24" i="15"/>
  <c r="BK24" i="15"/>
  <c r="BJ24" i="15"/>
  <c r="BI24" i="15"/>
  <c r="BH24" i="15"/>
  <c r="BO23" i="15"/>
  <c r="BN23" i="15"/>
  <c r="BM23" i="15"/>
  <c r="BL23" i="15"/>
  <c r="BK23" i="15"/>
  <c r="BJ23" i="15"/>
  <c r="BI23" i="15"/>
  <c r="BH23" i="15"/>
  <c r="BH20" i="15"/>
  <c r="BQ20" i="15" s="1"/>
  <c r="BQ24" i="15" l="1"/>
  <c r="BQ26" i="15" s="1"/>
  <c r="K22" i="7" l="1"/>
  <c r="K49" i="7" l="1"/>
  <c r="P49" i="7" s="1"/>
  <c r="U38" i="7"/>
  <c r="P22" i="7"/>
  <c r="J22" i="7"/>
  <c r="J49" i="7" s="1"/>
  <c r="O49" i="7" s="1"/>
  <c r="K73" i="9"/>
  <c r="J73" i="9"/>
  <c r="K21" i="9"/>
  <c r="J21" i="9"/>
  <c r="C41" i="9"/>
  <c r="C71" i="9" s="1"/>
  <c r="B41" i="9"/>
  <c r="B71" i="9" s="1"/>
  <c r="O22" i="7" l="1"/>
  <c r="T38" i="7"/>
  <c r="J45" i="9"/>
  <c r="K45" i="9"/>
  <c r="C68" i="9"/>
  <c r="C69" i="9"/>
  <c r="C57" i="9"/>
  <c r="C15" i="9"/>
  <c r="C14" i="9"/>
  <c r="C39" i="9" s="1"/>
  <c r="C6" i="9"/>
  <c r="C31" i="9" s="1"/>
  <c r="C56" i="9" s="1"/>
  <c r="C5" i="9"/>
  <c r="C30" i="9" s="1"/>
  <c r="C55" i="9" s="1"/>
  <c r="K70" i="9" l="1"/>
  <c r="J70" i="9"/>
  <c r="L68" i="9"/>
  <c r="J68" i="9"/>
  <c r="L67" i="9"/>
  <c r="J67" i="9"/>
  <c r="K64" i="9"/>
  <c r="L61" i="9"/>
  <c r="K61" i="9"/>
  <c r="J61" i="9"/>
  <c r="L60" i="9"/>
  <c r="K60" i="9"/>
  <c r="J60" i="9"/>
  <c r="L59" i="9"/>
  <c r="K59" i="9"/>
  <c r="J59" i="9"/>
  <c r="L58" i="9"/>
  <c r="K58" i="9"/>
  <c r="J58" i="9"/>
  <c r="L57" i="9"/>
  <c r="K57" i="9"/>
  <c r="J57" i="9"/>
  <c r="M54" i="9"/>
  <c r="K42" i="9"/>
  <c r="L40" i="9"/>
  <c r="K37" i="9"/>
  <c r="J37" i="9"/>
  <c r="L34" i="9"/>
  <c r="K34" i="9"/>
  <c r="J34" i="9"/>
  <c r="L33" i="9"/>
  <c r="K33" i="9"/>
  <c r="J33" i="9"/>
  <c r="L32" i="9"/>
  <c r="K32" i="9"/>
  <c r="J32" i="9"/>
  <c r="M29" i="9"/>
  <c r="K18" i="9"/>
  <c r="J16" i="9"/>
  <c r="J15" i="9"/>
  <c r="K12" i="9"/>
  <c r="L9" i="9"/>
  <c r="K9" i="9"/>
  <c r="J9" i="9"/>
  <c r="L8" i="9"/>
  <c r="K8" i="9"/>
  <c r="J8" i="9"/>
  <c r="L7" i="9"/>
  <c r="K7" i="9"/>
  <c r="J7" i="9"/>
  <c r="M4" i="9"/>
  <c r="L10" i="9" l="1"/>
  <c r="M15" i="9" s="1"/>
  <c r="M33" i="9"/>
  <c r="M58" i="9"/>
  <c r="M60" i="9"/>
  <c r="M61" i="9"/>
  <c r="M59" i="9"/>
  <c r="M57" i="9"/>
  <c r="M34" i="9"/>
  <c r="M32" i="9"/>
  <c r="M9" i="9"/>
  <c r="M8" i="9"/>
  <c r="M7" i="9"/>
  <c r="M16" i="9"/>
  <c r="L35" i="9"/>
  <c r="M40" i="9" s="1"/>
  <c r="L62" i="9"/>
  <c r="M68" i="9" s="1"/>
  <c r="M62" i="9" l="1"/>
  <c r="M35" i="9"/>
  <c r="M10" i="9"/>
  <c r="M67" i="9"/>
  <c r="M64" i="9" l="1"/>
  <c r="M65" i="9" s="1"/>
  <c r="M69" i="9" s="1"/>
  <c r="M37" i="9"/>
  <c r="M38" i="9" s="1"/>
  <c r="M41" i="9" s="1"/>
  <c r="M42" i="9" s="1"/>
  <c r="M43" i="9" s="1"/>
  <c r="M12" i="9"/>
  <c r="M13" i="9" s="1"/>
  <c r="M17" i="9" s="1"/>
  <c r="M18" i="9" s="1"/>
  <c r="M19" i="9" s="1"/>
  <c r="M70" i="9" l="1"/>
  <c r="M71" i="9" s="1"/>
  <c r="T24" i="7" l="1"/>
  <c r="J36" i="7"/>
  <c r="O9" i="7"/>
  <c r="C35" i="7"/>
  <c r="V26" i="7"/>
  <c r="Y51" i="7" l="1"/>
  <c r="O50" i="7"/>
  <c r="AF46" i="7"/>
  <c r="AD46" i="7"/>
  <c r="AA46" i="7"/>
  <c r="Y46" i="7"/>
  <c r="AF45" i="7"/>
  <c r="AD45" i="7"/>
  <c r="AA45" i="7"/>
  <c r="Y45" i="7"/>
  <c r="L44" i="7"/>
  <c r="AF44" i="7"/>
  <c r="AD44" i="7"/>
  <c r="AA44" i="7"/>
  <c r="Y44" i="7"/>
  <c r="Q44" i="7"/>
  <c r="L43" i="7"/>
  <c r="AD43" i="7"/>
  <c r="Y43" i="7"/>
  <c r="Q43" i="7"/>
  <c r="L42" i="7"/>
  <c r="AF42" i="7"/>
  <c r="AD42" i="7"/>
  <c r="AA42" i="7"/>
  <c r="Y42" i="7"/>
  <c r="Q42" i="7"/>
  <c r="AF41" i="7"/>
  <c r="AD41" i="7"/>
  <c r="AA41" i="7"/>
  <c r="Y41" i="7"/>
  <c r="AF40" i="7"/>
  <c r="AD40" i="7"/>
  <c r="AA40" i="7"/>
  <c r="Y40" i="7"/>
  <c r="O39" i="7"/>
  <c r="Y37" i="7"/>
  <c r="L36" i="7"/>
  <c r="C36" i="7"/>
  <c r="O36" i="7"/>
  <c r="O35" i="7"/>
  <c r="L34" i="7"/>
  <c r="V34" i="7"/>
  <c r="AF34" i="7"/>
  <c r="AD34" i="7"/>
  <c r="AA34" i="7"/>
  <c r="Y34" i="7"/>
  <c r="Q34" i="7"/>
  <c r="O34" i="7"/>
  <c r="AF33" i="7"/>
  <c r="AD33" i="7"/>
  <c r="Y33" i="7"/>
  <c r="V33" i="7"/>
  <c r="AF32" i="7"/>
  <c r="AD32" i="7"/>
  <c r="AA32" i="7"/>
  <c r="Y32" i="7"/>
  <c r="V32" i="7"/>
  <c r="V31" i="7"/>
  <c r="C31" i="7"/>
  <c r="AE37" i="7" s="1"/>
  <c r="G29" i="7"/>
  <c r="W20" i="7" s="1"/>
  <c r="C28" i="7"/>
  <c r="K23" i="7"/>
  <c r="J23" i="7"/>
  <c r="Q35" i="7"/>
  <c r="D24" i="7"/>
  <c r="D26" i="7" s="1"/>
  <c r="C26" i="7"/>
  <c r="L18" i="7"/>
  <c r="C18" i="7"/>
  <c r="Q18" i="7"/>
  <c r="L17" i="7"/>
  <c r="C17" i="7"/>
  <c r="AE32" i="7" s="1"/>
  <c r="AG32" i="7" s="1"/>
  <c r="Q17" i="7"/>
  <c r="L16" i="7"/>
  <c r="Q16" i="7"/>
  <c r="L15" i="7"/>
  <c r="Q15" i="7"/>
  <c r="K12" i="7"/>
  <c r="J12" i="7"/>
  <c r="P12" i="7"/>
  <c r="K9" i="7"/>
  <c r="M9" i="7" s="1"/>
  <c r="J9" i="7"/>
  <c r="Q9" i="7"/>
  <c r="L8" i="7"/>
  <c r="L10" i="7" s="1"/>
  <c r="J8" i="7"/>
  <c r="Q8" i="7"/>
  <c r="J7" i="7"/>
  <c r="Q7" i="7"/>
  <c r="J6" i="7"/>
  <c r="R4" i="7"/>
  <c r="W32" i="7" s="1"/>
  <c r="P23" i="7" l="1"/>
  <c r="K56" i="7"/>
  <c r="R18" i="7"/>
  <c r="Q37" i="7"/>
  <c r="U28" i="7"/>
  <c r="K29" i="7"/>
  <c r="K6" i="7"/>
  <c r="M6" i="7" s="1"/>
  <c r="P7" i="7"/>
  <c r="R7" i="7" s="1"/>
  <c r="Q19" i="7"/>
  <c r="P29" i="7"/>
  <c r="Z32" i="7"/>
  <c r="AB32" i="7" s="1"/>
  <c r="AF35" i="7"/>
  <c r="P39" i="7"/>
  <c r="L45" i="7"/>
  <c r="U45" i="7"/>
  <c r="Z51" i="7"/>
  <c r="P56" i="7"/>
  <c r="AE57" i="7"/>
  <c r="Q10" i="7"/>
  <c r="Z57" i="7"/>
  <c r="R15" i="7"/>
  <c r="R16" i="7"/>
  <c r="R17" i="7"/>
  <c r="P35" i="7"/>
  <c r="R35" i="7" s="1"/>
  <c r="AE33" i="7"/>
  <c r="AG33" i="7" s="1"/>
  <c r="Z33" i="7"/>
  <c r="L19" i="7"/>
  <c r="F26" i="7"/>
  <c r="M32" i="7"/>
  <c r="AB30" i="7"/>
  <c r="AB42" i="7" s="1"/>
  <c r="R32" i="7"/>
  <c r="W34" i="7"/>
  <c r="K35" i="7"/>
  <c r="V35" i="7"/>
  <c r="M4" i="7"/>
  <c r="M18" i="7" s="1"/>
  <c r="K7" i="7"/>
  <c r="M7" i="7" s="1"/>
  <c r="P8" i="7"/>
  <c r="R8" i="7" s="1"/>
  <c r="K34" i="7"/>
  <c r="M34" i="7" s="1"/>
  <c r="P34" i="7"/>
  <c r="R34" i="7" s="1"/>
  <c r="C20" i="7"/>
  <c r="U22" i="7"/>
  <c r="W22" i="7" s="1"/>
  <c r="U23" i="7"/>
  <c r="W23" i="7" s="1"/>
  <c r="L35" i="7"/>
  <c r="L37" i="7" s="1"/>
  <c r="E26" i="7"/>
  <c r="AG30" i="7"/>
  <c r="AG40" i="7" s="1"/>
  <c r="W31" i="7"/>
  <c r="W33" i="7"/>
  <c r="AA33" i="7"/>
  <c r="AA35" i="7" s="1"/>
  <c r="Q45" i="7"/>
  <c r="R45" i="7" s="1"/>
  <c r="AA43" i="7"/>
  <c r="P50" i="7"/>
  <c r="U39" i="7"/>
  <c r="AF43" i="7"/>
  <c r="Q46" i="7"/>
  <c r="AE51" i="7"/>
  <c r="Z37" i="7"/>
  <c r="K20" i="9" l="1"/>
  <c r="C42" i="9"/>
  <c r="L46" i="7"/>
  <c r="M45" i="7"/>
  <c r="AB41" i="7"/>
  <c r="AB40" i="7"/>
  <c r="AB43" i="7"/>
  <c r="W35" i="7"/>
  <c r="AB44" i="7"/>
  <c r="M16" i="7"/>
  <c r="M15" i="7"/>
  <c r="AA47" i="7"/>
  <c r="M35" i="7"/>
  <c r="AG44" i="7"/>
  <c r="AG42" i="7"/>
  <c r="R42" i="7"/>
  <c r="AG41" i="7"/>
  <c r="M42" i="7"/>
  <c r="AB33" i="7"/>
  <c r="AG46" i="7"/>
  <c r="AG45" i="7"/>
  <c r="AG43" i="7"/>
  <c r="AF47" i="7"/>
  <c r="K36" i="7"/>
  <c r="M36" i="7" s="1"/>
  <c r="AE34" i="7"/>
  <c r="AG34" i="7" s="1"/>
  <c r="AG35" i="7" s="1"/>
  <c r="AG37" i="7" s="1"/>
  <c r="AG38" i="7" s="1"/>
  <c r="Z34" i="7"/>
  <c r="AB34" i="7" s="1"/>
  <c r="P36" i="7"/>
  <c r="R36" i="7" s="1"/>
  <c r="R37" i="7" s="1"/>
  <c r="U24" i="7"/>
  <c r="W24" i="7" s="1"/>
  <c r="W26" i="7" s="1"/>
  <c r="P9" i="7"/>
  <c r="R9" i="7" s="1"/>
  <c r="R10" i="7" s="1"/>
  <c r="K8" i="7"/>
  <c r="M8" i="7" s="1"/>
  <c r="M10" i="7" s="1"/>
  <c r="M22" i="7" s="1"/>
  <c r="AB46" i="7"/>
  <c r="AB45" i="7"/>
  <c r="R19" i="7"/>
  <c r="M17" i="7"/>
  <c r="W28" i="7" l="1"/>
  <c r="W29" i="7" s="1"/>
  <c r="W37" i="7" s="1"/>
  <c r="W39" i="7" s="1"/>
  <c r="W38" i="7"/>
  <c r="R39" i="7"/>
  <c r="R40" i="7" s="1"/>
  <c r="R49" i="7"/>
  <c r="R12" i="7"/>
  <c r="R13" i="7" s="1"/>
  <c r="R21" i="7" s="1"/>
  <c r="R23" i="7" s="1"/>
  <c r="R24" i="7" s="1"/>
  <c r="R26" i="7" s="1"/>
  <c r="R27" i="7" s="1"/>
  <c r="R28" i="7" s="1"/>
  <c r="R29" i="7" s="1"/>
  <c r="R22" i="7"/>
  <c r="M12" i="7"/>
  <c r="M13" i="7" s="1"/>
  <c r="K44" i="9"/>
  <c r="M45" i="9" s="1"/>
  <c r="C72" i="9"/>
  <c r="K72" i="9" s="1"/>
  <c r="M73" i="9" s="1"/>
  <c r="M21" i="9"/>
  <c r="M20" i="9"/>
  <c r="M37" i="7"/>
  <c r="AB47" i="7"/>
  <c r="AG47" i="7"/>
  <c r="AB35" i="7"/>
  <c r="AB37" i="7" s="1"/>
  <c r="AB38" i="7" s="1"/>
  <c r="R46" i="7"/>
  <c r="M19" i="7"/>
  <c r="AG49" i="7"/>
  <c r="M46" i="7"/>
  <c r="R48" i="7" l="1"/>
  <c r="R50" i="7" s="1"/>
  <c r="R51" i="7" s="1"/>
  <c r="R53" i="7" s="1"/>
  <c r="R54" i="7" s="1"/>
  <c r="R55" i="7" s="1"/>
  <c r="R56" i="7" s="1"/>
  <c r="M39" i="7"/>
  <c r="M40" i="7" s="1"/>
  <c r="M48" i="7" s="1"/>
  <c r="M50" i="7" s="1"/>
  <c r="M49" i="7"/>
  <c r="W40" i="7"/>
  <c r="W42" i="7" s="1"/>
  <c r="W43" i="7" s="1"/>
  <c r="W44" i="7" s="1"/>
  <c r="W45" i="7" s="1"/>
  <c r="M21" i="7"/>
  <c r="M22" i="9"/>
  <c r="M72" i="9"/>
  <c r="M74" i="9" s="1"/>
  <c r="M76" i="9" s="1"/>
  <c r="M44" i="9"/>
  <c r="AB49" i="7"/>
  <c r="AB51" i="7" s="1"/>
  <c r="D9" i="7"/>
  <c r="AG52" i="7"/>
  <c r="AG54" i="7" s="1"/>
  <c r="AG55" i="7" s="1"/>
  <c r="AG56" i="7" s="1"/>
  <c r="AG57" i="7" s="1"/>
  <c r="AG51" i="7"/>
  <c r="M24" i="9" l="1"/>
  <c r="M25" i="9" s="1"/>
  <c r="M46" i="9"/>
  <c r="M51" i="7"/>
  <c r="M53" i="7" s="1"/>
  <c r="M54" i="7" s="1"/>
  <c r="M55" i="7" s="1"/>
  <c r="M56" i="7" s="1"/>
  <c r="D12" i="7"/>
  <c r="AB52" i="7"/>
  <c r="AB54" i="7" s="1"/>
  <c r="AB55" i="7" s="1"/>
  <c r="AB56" i="7" s="1"/>
  <c r="AB57" i="7" s="1"/>
  <c r="M23" i="7"/>
  <c r="M24" i="7" s="1"/>
  <c r="M26" i="7" s="1"/>
  <c r="M27" i="7" s="1"/>
  <c r="M28" i="7" s="1"/>
  <c r="M29" i="7" s="1"/>
  <c r="M77" i="9"/>
  <c r="D11" i="7"/>
  <c r="D10" i="7" l="1"/>
  <c r="M48" i="9"/>
  <c r="M49" i="9" s="1"/>
  <c r="O55" i="6"/>
  <c r="J55" i="6"/>
  <c r="T50" i="6"/>
  <c r="O50" i="6"/>
  <c r="J50" i="6"/>
  <c r="T49" i="6"/>
  <c r="O49" i="6"/>
  <c r="J49" i="6"/>
  <c r="T48" i="6"/>
  <c r="O48" i="6"/>
  <c r="J48" i="6"/>
  <c r="T47" i="6"/>
  <c r="O47" i="6"/>
  <c r="J47" i="6"/>
  <c r="T46" i="6"/>
  <c r="O46" i="6"/>
  <c r="J46" i="6"/>
  <c r="T45" i="6"/>
  <c r="O45" i="6"/>
  <c r="J45" i="6"/>
  <c r="T44" i="6"/>
  <c r="O44" i="6"/>
  <c r="J44" i="6"/>
  <c r="O41" i="6"/>
  <c r="J41" i="6"/>
  <c r="V38" i="6"/>
  <c r="T38" i="6"/>
  <c r="Q38" i="6"/>
  <c r="O38" i="6"/>
  <c r="L38" i="6"/>
  <c r="J38" i="6"/>
  <c r="C38" i="6"/>
  <c r="U31" i="6" s="1"/>
  <c r="T37" i="6"/>
  <c r="O37" i="6"/>
  <c r="J37" i="6"/>
  <c r="C37" i="6"/>
  <c r="K55" i="6" s="1"/>
  <c r="V36" i="6"/>
  <c r="T36" i="6"/>
  <c r="Q36" i="6"/>
  <c r="O36" i="6"/>
  <c r="L36" i="6"/>
  <c r="J36" i="6"/>
  <c r="C36" i="6"/>
  <c r="C35" i="6"/>
  <c r="Q49" i="6" s="1"/>
  <c r="W34" i="6"/>
  <c r="M34" i="6"/>
  <c r="C34" i="6"/>
  <c r="V48" i="6" s="1"/>
  <c r="W48" i="6" s="1"/>
  <c r="C33" i="6"/>
  <c r="V17" i="6" s="1"/>
  <c r="C32" i="6"/>
  <c r="V46" i="6" s="1"/>
  <c r="W46" i="6" s="1"/>
  <c r="C31" i="6"/>
  <c r="C30" i="6"/>
  <c r="C29" i="6"/>
  <c r="P11" i="6" s="1"/>
  <c r="G27" i="6"/>
  <c r="R34" i="6" s="1"/>
  <c r="H26" i="6"/>
  <c r="G26" i="6"/>
  <c r="F26" i="6"/>
  <c r="E26" i="6"/>
  <c r="D26" i="6"/>
  <c r="C26" i="6"/>
  <c r="U25" i="6"/>
  <c r="K25" i="6"/>
  <c r="J25" i="6"/>
  <c r="E24" i="6"/>
  <c r="D24" i="6"/>
  <c r="C24" i="6"/>
  <c r="H22" i="6"/>
  <c r="V37" i="6" s="1"/>
  <c r="G22" i="6"/>
  <c r="G24" i="6" s="1"/>
  <c r="F22" i="6"/>
  <c r="L37" i="6" s="1"/>
  <c r="T20" i="6"/>
  <c r="O20" i="6"/>
  <c r="J20" i="6"/>
  <c r="V19" i="6"/>
  <c r="T19" i="6"/>
  <c r="Q19" i="6"/>
  <c r="O19" i="6"/>
  <c r="L19" i="6"/>
  <c r="J19" i="6"/>
  <c r="T18" i="6"/>
  <c r="O18" i="6"/>
  <c r="J18" i="6"/>
  <c r="C18" i="6"/>
  <c r="T17" i="6"/>
  <c r="O17" i="6"/>
  <c r="L17" i="6"/>
  <c r="J17" i="6"/>
  <c r="C17" i="6"/>
  <c r="U36" i="6" s="1"/>
  <c r="W36" i="6" s="1"/>
  <c r="T16" i="6"/>
  <c r="O16" i="6"/>
  <c r="J16" i="6"/>
  <c r="T15" i="6"/>
  <c r="Q15" i="6"/>
  <c r="O15" i="6"/>
  <c r="L15" i="6"/>
  <c r="M15" i="6" s="1"/>
  <c r="J15" i="6"/>
  <c r="V14" i="6"/>
  <c r="T14" i="6"/>
  <c r="Q14" i="6"/>
  <c r="O14" i="6"/>
  <c r="L14" i="6"/>
  <c r="J14" i="6"/>
  <c r="U11" i="6"/>
  <c r="K11" i="6"/>
  <c r="J11" i="6"/>
  <c r="V8" i="6"/>
  <c r="Q8" i="6"/>
  <c r="L8" i="6"/>
  <c r="J8" i="6"/>
  <c r="V7" i="6"/>
  <c r="U7" i="6"/>
  <c r="W7" i="6" s="1"/>
  <c r="Q7" i="6"/>
  <c r="P7" i="6"/>
  <c r="R7" i="6" s="1"/>
  <c r="L7" i="6"/>
  <c r="K7" i="6"/>
  <c r="M7" i="6" s="1"/>
  <c r="J7" i="6"/>
  <c r="D7" i="6"/>
  <c r="D12" i="6" s="1"/>
  <c r="V6" i="6"/>
  <c r="V9" i="6" s="1"/>
  <c r="U6" i="6"/>
  <c r="W6" i="6" s="1"/>
  <c r="Q6" i="6"/>
  <c r="Q9" i="6" s="1"/>
  <c r="P6" i="6"/>
  <c r="R6" i="6" s="1"/>
  <c r="L6" i="6"/>
  <c r="L9" i="6" s="1"/>
  <c r="K6" i="6"/>
  <c r="M6" i="6" s="1"/>
  <c r="J6" i="6"/>
  <c r="W4" i="6"/>
  <c r="W14" i="6" s="1"/>
  <c r="R4" i="6"/>
  <c r="M4" i="6"/>
  <c r="M14" i="6" s="1"/>
  <c r="F37" i="3"/>
  <c r="H37" i="3" s="1"/>
  <c r="C12" i="3" s="1"/>
  <c r="E37" i="3"/>
  <c r="D37" i="3"/>
  <c r="F35" i="3"/>
  <c r="C35" i="3"/>
  <c r="B35" i="3"/>
  <c r="E35" i="3" s="1"/>
  <c r="F34" i="3"/>
  <c r="H34" i="3" s="1"/>
  <c r="E34" i="3"/>
  <c r="D34" i="3"/>
  <c r="F33" i="3"/>
  <c r="H33" i="3" s="1"/>
  <c r="E33" i="3"/>
  <c r="D33" i="3"/>
  <c r="F32" i="3"/>
  <c r="H32" i="3" s="1"/>
  <c r="E32" i="3"/>
  <c r="D32" i="3"/>
  <c r="F31" i="3"/>
  <c r="H31" i="3" s="1"/>
  <c r="E31" i="3"/>
  <c r="D31" i="3"/>
  <c r="F28" i="3"/>
  <c r="C28" i="3"/>
  <c r="B28" i="3"/>
  <c r="E28" i="3" s="1"/>
  <c r="F27" i="3"/>
  <c r="H27" i="3" s="1"/>
  <c r="E27" i="3"/>
  <c r="D27" i="3"/>
  <c r="F26" i="3"/>
  <c r="H26" i="3" s="1"/>
  <c r="E26" i="3"/>
  <c r="D26" i="3"/>
  <c r="F25" i="3"/>
  <c r="H25" i="3" s="1"/>
  <c r="E25" i="3"/>
  <c r="D25" i="3"/>
  <c r="F24" i="3"/>
  <c r="H24" i="3" s="1"/>
  <c r="E24" i="3"/>
  <c r="D24" i="3"/>
  <c r="F21" i="3"/>
  <c r="C21" i="3"/>
  <c r="B21" i="3"/>
  <c r="E21" i="3" s="1"/>
  <c r="F20" i="3"/>
  <c r="H20" i="3" s="1"/>
  <c r="E20" i="3"/>
  <c r="D20" i="3"/>
  <c r="F19" i="3"/>
  <c r="H19" i="3" s="1"/>
  <c r="E19" i="3"/>
  <c r="D19" i="3"/>
  <c r="F18" i="3"/>
  <c r="H18" i="3" s="1"/>
  <c r="E18" i="3"/>
  <c r="D18" i="3"/>
  <c r="F17" i="3"/>
  <c r="H17" i="3" s="1"/>
  <c r="E17" i="3"/>
  <c r="D17" i="3"/>
  <c r="B13" i="3"/>
  <c r="L16" i="6" l="1"/>
  <c r="M16" i="6" s="1"/>
  <c r="Q16" i="6"/>
  <c r="V16" i="6"/>
  <c r="L18" i="6"/>
  <c r="Q18" i="6"/>
  <c r="R18" i="6" s="1"/>
  <c r="V18" i="6"/>
  <c r="Q20" i="6"/>
  <c r="R20" i="6" s="1"/>
  <c r="D8" i="7"/>
  <c r="H24" i="6"/>
  <c r="V39" i="6"/>
  <c r="F24" i="6"/>
  <c r="L39" i="6"/>
  <c r="D8" i="6"/>
  <c r="R19" i="6"/>
  <c r="P25" i="6"/>
  <c r="D9" i="6"/>
  <c r="D10" i="6"/>
  <c r="D11" i="6"/>
  <c r="D13" i="6"/>
  <c r="R16" i="6"/>
  <c r="W16" i="6"/>
  <c r="U37" i="6"/>
  <c r="W37" i="6" s="1"/>
  <c r="P37" i="6"/>
  <c r="K37" i="6"/>
  <c r="M37" i="6" s="1"/>
  <c r="M18" i="6"/>
  <c r="C19" i="6"/>
  <c r="M19" i="6"/>
  <c r="U41" i="6"/>
  <c r="P41" i="6"/>
  <c r="K41" i="6"/>
  <c r="V44" i="6"/>
  <c r="L44" i="6"/>
  <c r="Q44" i="6"/>
  <c r="Q45" i="6"/>
  <c r="R45" i="6" s="1"/>
  <c r="V15" i="6"/>
  <c r="W15" i="6" s="1"/>
  <c r="V45" i="6"/>
  <c r="W45" i="6" s="1"/>
  <c r="L45" i="6"/>
  <c r="M45" i="6" s="1"/>
  <c r="V50" i="6"/>
  <c r="W50" i="6" s="1"/>
  <c r="L50" i="6"/>
  <c r="M50" i="6" s="1"/>
  <c r="V20" i="6"/>
  <c r="W20" i="6" s="1"/>
  <c r="L20" i="6"/>
  <c r="Q50" i="6"/>
  <c r="R50" i="6" s="1"/>
  <c r="K36" i="6"/>
  <c r="M36" i="6" s="1"/>
  <c r="P36" i="6"/>
  <c r="R36" i="6" s="1"/>
  <c r="L21" i="6"/>
  <c r="R14" i="6"/>
  <c r="R15" i="6"/>
  <c r="M17" i="6"/>
  <c r="W17" i="6"/>
  <c r="W18" i="6"/>
  <c r="W19" i="6"/>
  <c r="Q47" i="6"/>
  <c r="R47" i="6" s="1"/>
  <c r="Q17" i="6"/>
  <c r="R17" i="6" s="1"/>
  <c r="V47" i="6"/>
  <c r="W47" i="6" s="1"/>
  <c r="L47" i="6"/>
  <c r="M47" i="6" s="1"/>
  <c r="R49" i="6"/>
  <c r="Q37" i="6"/>
  <c r="Q39" i="6" s="1"/>
  <c r="Q46" i="6"/>
  <c r="R46" i="6" s="1"/>
  <c r="Q48" i="6"/>
  <c r="R48" i="6" s="1"/>
  <c r="L49" i="6"/>
  <c r="M49" i="6" s="1"/>
  <c r="V49" i="6"/>
  <c r="W49" i="6" s="1"/>
  <c r="P55" i="6"/>
  <c r="U55" i="6"/>
  <c r="K61" i="6"/>
  <c r="P61" i="6"/>
  <c r="U61" i="6"/>
  <c r="K31" i="6"/>
  <c r="P31" i="6"/>
  <c r="L46" i="6"/>
  <c r="M46" i="6" s="1"/>
  <c r="L48" i="6"/>
  <c r="M48" i="6" s="1"/>
  <c r="H28" i="3"/>
  <c r="C10" i="3" s="1"/>
  <c r="D21" i="3"/>
  <c r="H21" i="3" s="1"/>
  <c r="C9" i="3" s="1"/>
  <c r="D35" i="3"/>
  <c r="H35" i="3" s="1"/>
  <c r="C11" i="3" s="1"/>
  <c r="D28" i="3"/>
  <c r="V21" i="6" l="1"/>
  <c r="W21" i="6"/>
  <c r="R21" i="6"/>
  <c r="L51" i="6"/>
  <c r="M44" i="6"/>
  <c r="M51" i="6" s="1"/>
  <c r="U38" i="6"/>
  <c r="W38" i="6" s="1"/>
  <c r="W39" i="6" s="1"/>
  <c r="W41" i="6" s="1"/>
  <c r="W42" i="6" s="1"/>
  <c r="P38" i="6"/>
  <c r="R38" i="6" s="1"/>
  <c r="K38" i="6"/>
  <c r="M38" i="6" s="1"/>
  <c r="U8" i="6"/>
  <c r="W8" i="6" s="1"/>
  <c r="W9" i="6" s="1"/>
  <c r="W11" i="6" s="1"/>
  <c r="W12" i="6" s="1"/>
  <c r="K8" i="6"/>
  <c r="M8" i="6" s="1"/>
  <c r="M9" i="6" s="1"/>
  <c r="M11" i="6" s="1"/>
  <c r="M12" i="6" s="1"/>
  <c r="P8" i="6"/>
  <c r="R8" i="6" s="1"/>
  <c r="R9" i="6" s="1"/>
  <c r="R11" i="6" s="1"/>
  <c r="R12" i="6" s="1"/>
  <c r="R23" i="6" s="1"/>
  <c r="M39" i="6"/>
  <c r="M41" i="6" s="1"/>
  <c r="M42" i="6" s="1"/>
  <c r="M20" i="6"/>
  <c r="M21" i="6" s="1"/>
  <c r="K28" i="6"/>
  <c r="Q51" i="6"/>
  <c r="R44" i="6"/>
  <c r="R51" i="6" s="1"/>
  <c r="V51" i="6"/>
  <c r="W44" i="6"/>
  <c r="W51" i="6" s="1"/>
  <c r="R37" i="6"/>
  <c r="R39" i="6" s="1"/>
  <c r="R41" i="6" s="1"/>
  <c r="R42" i="6" s="1"/>
  <c r="Q21" i="6"/>
  <c r="C13" i="3"/>
  <c r="C14" i="3" s="1"/>
  <c r="W23" i="6" l="1"/>
  <c r="R53" i="6"/>
  <c r="R55" i="6" s="1"/>
  <c r="R56" i="6" s="1"/>
  <c r="R58" i="6" s="1"/>
  <c r="R59" i="6" s="1"/>
  <c r="R60" i="6" s="1"/>
  <c r="R61" i="6" s="1"/>
  <c r="E12" i="6" s="1"/>
  <c r="F12" i="6" s="1"/>
  <c r="G12" i="6" s="1"/>
  <c r="M53" i="6"/>
  <c r="W53" i="6"/>
  <c r="M55" i="6"/>
  <c r="M56" i="6" s="1"/>
  <c r="M58" i="6" s="1"/>
  <c r="M59" i="6" s="1"/>
  <c r="M60" i="6" s="1"/>
  <c r="M61" i="6" s="1"/>
  <c r="E11" i="6" s="1"/>
  <c r="W55" i="6"/>
  <c r="W56" i="6" s="1"/>
  <c r="W58" i="6" s="1"/>
  <c r="W59" i="6" s="1"/>
  <c r="W60" i="6" s="1"/>
  <c r="W61" i="6" s="1"/>
  <c r="E13" i="6" s="1"/>
  <c r="F13" i="6" s="1"/>
  <c r="G13" i="6" s="1"/>
  <c r="M23" i="6"/>
  <c r="R25" i="6"/>
  <c r="R26" i="6" s="1"/>
  <c r="R28" i="6" s="1"/>
  <c r="R29" i="6" s="1"/>
  <c r="R30" i="6" s="1"/>
  <c r="R31" i="6" s="1"/>
  <c r="E9" i="6" s="1"/>
  <c r="W25" i="6"/>
  <c r="W26" i="6" s="1"/>
  <c r="W28" i="6" s="1"/>
  <c r="W29" i="6" s="1"/>
  <c r="W30" i="6" s="1"/>
  <c r="W31" i="6" s="1"/>
  <c r="E10" i="6" s="1"/>
  <c r="F10" i="6" l="1"/>
  <c r="G10" i="6" s="1"/>
  <c r="F9" i="6"/>
  <c r="G9" i="6" s="1"/>
  <c r="F11" i="6"/>
  <c r="G11" i="6" s="1"/>
  <c r="M25" i="6"/>
  <c r="M26" i="6" s="1"/>
  <c r="M28" i="6" s="1"/>
  <c r="M29" i="6" s="1"/>
  <c r="M30" i="6" s="1"/>
  <c r="M31" i="6" s="1"/>
  <c r="E8" i="6" s="1"/>
  <c r="F8" i="6" l="1"/>
  <c r="G8" i="6" s="1"/>
</calcChain>
</file>

<file path=xl/comments1.xml><?xml version="1.0" encoding="utf-8"?>
<comments xmlns="http://schemas.openxmlformats.org/spreadsheetml/2006/main">
  <authors>
    <author>EHS</author>
  </authors>
  <commentList>
    <comment ref="M4" authorId="0">
      <text>
        <r>
          <rPr>
            <b/>
            <sz val="8"/>
            <color indexed="81"/>
            <rFont val="Tahoma"/>
            <charset val="1"/>
          </rPr>
          <t>EHS:</t>
        </r>
        <r>
          <rPr>
            <sz val="8"/>
            <color indexed="81"/>
            <rFont val="Tahoma"/>
            <charset val="1"/>
          </rPr>
          <t xml:space="preserve">
UNIT = Cost per Client per day (6 hour days / 250 open days) </t>
        </r>
      </text>
    </comment>
  </commentList>
</comments>
</file>

<file path=xl/sharedStrings.xml><?xml version="1.0" encoding="utf-8"?>
<sst xmlns="http://schemas.openxmlformats.org/spreadsheetml/2006/main" count="728" uniqueCount="314">
  <si>
    <t>Occupancy</t>
  </si>
  <si>
    <t>Transportation</t>
  </si>
  <si>
    <t>Sups &amp;Mats</t>
  </si>
  <si>
    <t>Direct Client Expenses</t>
  </si>
  <si>
    <t>Training</t>
  </si>
  <si>
    <t>Capacity</t>
  </si>
  <si>
    <t>Days</t>
  </si>
  <si>
    <t>TOTAL UNITS</t>
  </si>
  <si>
    <t>A</t>
  </si>
  <si>
    <t>B</t>
  </si>
  <si>
    <t>C</t>
  </si>
  <si>
    <t>D</t>
  </si>
  <si>
    <t>E</t>
  </si>
  <si>
    <t>F</t>
  </si>
  <si>
    <t>COMMUNITY BASED DAY SUPPORTS - EXPENSE RECALCULATION</t>
  </si>
  <si>
    <t>Original Models -  RATES WITH CAF</t>
  </si>
  <si>
    <t>RATES REBASED</t>
  </si>
  <si>
    <t>Level A - Rebased</t>
  </si>
  <si>
    <t>Level B - Rebased</t>
  </si>
  <si>
    <t>Service Unit: Per Client Per Day</t>
  </si>
  <si>
    <t>Total Units:</t>
  </si>
  <si>
    <t>LEVEL</t>
  </si>
  <si>
    <t>Current RATE PER 1/4 HOUR</t>
  </si>
  <si>
    <t>Rate with</t>
  </si>
  <si>
    <t>Rebased w/proper EXP. divisor</t>
  </si>
  <si>
    <t xml:space="preserve">Variance - </t>
  </si>
  <si>
    <t>%</t>
  </si>
  <si>
    <t>Salary</t>
  </si>
  <si>
    <t>FTE</t>
  </si>
  <si>
    <t>Expense</t>
  </si>
  <si>
    <t>FY18 CAF</t>
  </si>
  <si>
    <t>Rebased to Current</t>
  </si>
  <si>
    <t>Direct Mgmt Staffing</t>
  </si>
  <si>
    <t>Direct Care Staffing</t>
  </si>
  <si>
    <t>Level A</t>
  </si>
  <si>
    <t>Dir Care Support Staffing</t>
  </si>
  <si>
    <t>Level B</t>
  </si>
  <si>
    <t>Total Staffing</t>
  </si>
  <si>
    <t>Level C</t>
  </si>
  <si>
    <t>Level D</t>
  </si>
  <si>
    <t>Taxes &amp; Fringe</t>
  </si>
  <si>
    <t>Total Compensation</t>
  </si>
  <si>
    <t>Level F</t>
  </si>
  <si>
    <t>Unit Cost</t>
  </si>
  <si>
    <t>MASTER DATA LOOK-UP TABLE</t>
  </si>
  <si>
    <t>Benchmark Salaries</t>
  </si>
  <si>
    <t>Source</t>
  </si>
  <si>
    <t>Management</t>
  </si>
  <si>
    <t>Direct Care</t>
  </si>
  <si>
    <t>Clinical, Med, Specialized</t>
  </si>
  <si>
    <t>Clerical Support</t>
  </si>
  <si>
    <t xml:space="preserve">                FTEs                                    Level</t>
  </si>
  <si>
    <t>Total reimb excl M&amp;G</t>
  </si>
  <si>
    <t>Clinicial, Med, Specialized</t>
  </si>
  <si>
    <t xml:space="preserve">Admin. Alloc. </t>
  </si>
  <si>
    <t>TOTAL</t>
  </si>
  <si>
    <t>TOTAL FTEs</t>
  </si>
  <si>
    <t>RATE:</t>
  </si>
  <si>
    <t>Transportation Ratio</t>
  </si>
  <si>
    <t>Hourly Rate</t>
  </si>
  <si>
    <t>Per 15 min</t>
  </si>
  <si>
    <t>FY18 Rate Review CAF</t>
  </si>
  <si>
    <t>Level E - Rebased</t>
  </si>
  <si>
    <t>Intensity Level E</t>
  </si>
  <si>
    <t>Intensity Level F</t>
  </si>
  <si>
    <t>Benchmark Expenses</t>
  </si>
  <si>
    <t>Tax &amp; Fringe</t>
  </si>
  <si>
    <t>Weighted Average FY16 UFR Data</t>
  </si>
  <si>
    <t>Level C - Rebased</t>
  </si>
  <si>
    <t>Intensity Level C</t>
  </si>
  <si>
    <t xml:space="preserve">Level D - Rebased </t>
  </si>
  <si>
    <t>Intensity Level D</t>
  </si>
  <si>
    <t>Admin Allocation</t>
  </si>
  <si>
    <t>CAF</t>
  </si>
  <si>
    <t>Base 2017Q4 - Prospective 1/1/18-12/31/19</t>
  </si>
  <si>
    <t>Notes:</t>
  </si>
  <si>
    <t xml:space="preserve"> - Relief Staffing has been removed from all models. Relief FTEs have been added back into total Direct Care Staff</t>
  </si>
  <si>
    <t xml:space="preserve"> - Further adjustments have been made to Management and Direct Care Staffing to mitigate decreases to rates</t>
  </si>
  <si>
    <t xml:space="preserve">   as a result of rebasing models:</t>
  </si>
  <si>
    <t xml:space="preserve">Model A </t>
  </si>
  <si>
    <t>From 1.5 to 1.65</t>
  </si>
  <si>
    <t>From 20.92 to 21.63</t>
  </si>
  <si>
    <t>Model B</t>
  </si>
  <si>
    <t>From 10.46 to 10.80</t>
  </si>
  <si>
    <t>Model C</t>
  </si>
  <si>
    <t>From 6.54 to 6.64</t>
  </si>
  <si>
    <t xml:space="preserve"> - Below the Line Expenses in the original models were calculated on an average capacity of 22.5. Unit expenses have </t>
  </si>
  <si>
    <t xml:space="preserve">   been rebased utilizing a capacity of 20 bringing TOTAL UNIT COST for Below the Line Expenses in model A from $22.09</t>
  </si>
  <si>
    <t xml:space="preserve">   in the original models to $24.85, an effective increase of 12.49%</t>
  </si>
  <si>
    <t xml:space="preserve"> - Utilizing cost expense RATIOS from FY16 UFRs as a basis, individual cost items have been broken out below the line .</t>
  </si>
  <si>
    <t xml:space="preserve"> - The Transportation Unit Cost has been assigned a ratio for each model. Level A, with</t>
  </si>
  <si>
    <t xml:space="preserve">   the greatest number of FTEs, receives the full $3.45 per unit, because it is expected that FTEs in this model</t>
  </si>
  <si>
    <t xml:space="preserve">   interact with the smallest number of clients (often 1:1) and transport the smallest number of clients. It is </t>
  </si>
  <si>
    <t xml:space="preserve">   programmatically anticipated that at Level F, the staff to client ratio is likely 1:4 or higher, and therefore</t>
  </si>
  <si>
    <t xml:space="preserve">   the transportation cost per client per day will be lower.</t>
  </si>
  <si>
    <t>Gas Price</t>
  </si>
  <si>
    <t>8/7/18 Weekly MA Average</t>
  </si>
  <si>
    <t>Mileage Assumption</t>
  </si>
  <si>
    <t>Depreciable Life</t>
  </si>
  <si>
    <t>Maintanence Factor</t>
  </si>
  <si>
    <t>Useage Adjustment</t>
  </si>
  <si>
    <t>Vehicle Mix</t>
  </si>
  <si>
    <t>Annual Cost</t>
  </si>
  <si>
    <t>Sedan</t>
  </si>
  <si>
    <t>Minivan</t>
  </si>
  <si>
    <t>Van</t>
  </si>
  <si>
    <t>WC Van</t>
  </si>
  <si>
    <t>Total</t>
  </si>
  <si>
    <t>Per Unit</t>
  </si>
  <si>
    <t>Sedans</t>
  </si>
  <si>
    <t>2018 MSRP</t>
  </si>
  <si>
    <t>MPG (City)</t>
  </si>
  <si>
    <t>Maint</t>
  </si>
  <si>
    <t>Depreciation</t>
  </si>
  <si>
    <t>Gas</t>
  </si>
  <si>
    <t>Insurance</t>
  </si>
  <si>
    <t>Total Annual</t>
  </si>
  <si>
    <t>Honda Civic</t>
  </si>
  <si>
    <t>Toyota Corolla</t>
  </si>
  <si>
    <t>Nissan Altima</t>
  </si>
  <si>
    <t>Chevy Cruze</t>
  </si>
  <si>
    <t>Average</t>
  </si>
  <si>
    <t>Minivans</t>
  </si>
  <si>
    <t>Toyota Sienna</t>
  </si>
  <si>
    <t>Honda Odyssey</t>
  </si>
  <si>
    <t>Dodge Grand Caravan</t>
  </si>
  <si>
    <t>Kia Sedona</t>
  </si>
  <si>
    <t>Vans</t>
  </si>
  <si>
    <t>Chevy Express</t>
  </si>
  <si>
    <t>Ford Transit Wagon</t>
  </si>
  <si>
    <t>Nissan NV Passenger</t>
  </si>
  <si>
    <t>GMC Savana</t>
  </si>
  <si>
    <t>Wheelchair Van</t>
  </si>
  <si>
    <t>Clinical</t>
  </si>
  <si>
    <t>Hours</t>
  </si>
  <si>
    <t>Level E</t>
  </si>
  <si>
    <t>Straight Average FY16 UFR Data - 1S, 2S, 3S, and 4S</t>
  </si>
  <si>
    <t>Straight Average FY16 UFR Data - DC I + DC II + DC III</t>
  </si>
  <si>
    <t>Benchmarked to Direct Care</t>
  </si>
  <si>
    <t xml:space="preserve">Occupancy (per unit) </t>
  </si>
  <si>
    <t xml:space="preserve">Rebased to client capacity </t>
  </si>
  <si>
    <t>Consultant/Temp Help (per unit)</t>
  </si>
  <si>
    <t>Direct Client Expense (per unit)</t>
  </si>
  <si>
    <t>Supplies (per unit)</t>
  </si>
  <si>
    <t>Other Expenses (per unit)</t>
  </si>
  <si>
    <t>Direct Admin Expense (per unit)</t>
  </si>
  <si>
    <t>Transprtation (per unit per ratio)</t>
  </si>
  <si>
    <t>Rebased to client capacity  - Ratio calculated into model rate</t>
  </si>
  <si>
    <t>Proposed Rate PER 1/4 HOUR</t>
  </si>
  <si>
    <t>Blended Salaries</t>
  </si>
  <si>
    <t>Rebased with appicable CAF's compunded</t>
  </si>
  <si>
    <t>Rebased with current (2018) vehicle costs etc.</t>
  </si>
  <si>
    <t>Support Staff</t>
  </si>
  <si>
    <t>Master Data Look-Up Data</t>
  </si>
  <si>
    <t xml:space="preserve">Level III - Pediatric Nursing Facility Active Treatment 3777 - Community Integration Model </t>
  </si>
  <si>
    <t xml:space="preserve"> Benchmark Salaries</t>
  </si>
  <si>
    <t>Rebased</t>
  </si>
  <si>
    <t>Service Unit - Hour</t>
  </si>
  <si>
    <t>Total Hours</t>
  </si>
  <si>
    <t>Rebased with original model CAF</t>
  </si>
  <si>
    <t>Medical</t>
  </si>
  <si>
    <t>Position</t>
  </si>
  <si>
    <t>Direct Care Blend</t>
  </si>
  <si>
    <t>Benchmark FTEs</t>
  </si>
  <si>
    <t>Average from FY14 UFR Data (Weighted)</t>
  </si>
  <si>
    <t>Total Program Staff</t>
  </si>
  <si>
    <t>Tax and Fringe</t>
  </si>
  <si>
    <t>Average from FY14 UFR Data (Straight)</t>
  </si>
  <si>
    <t>Program Supplies (Per FTE)</t>
  </si>
  <si>
    <t>Per FTE - Rebased with original model CAF</t>
  </si>
  <si>
    <t>Client Transportation (Per FTE)</t>
  </si>
  <si>
    <t>Admin. Allocation</t>
  </si>
  <si>
    <t>CAF Rate</t>
  </si>
  <si>
    <t>Total Reimb excl M&amp;G</t>
  </si>
  <si>
    <t>Total Service Units</t>
  </si>
  <si>
    <t>CAF:</t>
  </si>
  <si>
    <t>Rate with CAF</t>
  </si>
  <si>
    <t>1/4 hour</t>
  </si>
  <si>
    <t xml:space="preserve">Level II - Pediatric Nursing Facility Active Treatment 3777 - Facility Based Model </t>
  </si>
  <si>
    <t>Program Supplies</t>
  </si>
  <si>
    <t>Level I - Nursing Facility Active Treatment 3777</t>
  </si>
  <si>
    <t>Support</t>
  </si>
  <si>
    <t>Occupancy (Per FTE)</t>
  </si>
  <si>
    <t>101 CMR 421: Rates for Adult Housing and Community Support Services</t>
  </si>
  <si>
    <t>Other Program Expense (Per FTE</t>
  </si>
  <si>
    <t>Weighted Average from FY14 UFR Data</t>
  </si>
  <si>
    <t>Billable Hours</t>
  </si>
  <si>
    <t>Weeks</t>
  </si>
  <si>
    <t>Maximum Available DC Hours</t>
  </si>
  <si>
    <t>Non-direct service hours</t>
  </si>
  <si>
    <t>Vacation/Sick/Personal</t>
  </si>
  <si>
    <t>Holidays (10 Days)</t>
  </si>
  <si>
    <t>Admin/Supervision/Misc</t>
  </si>
  <si>
    <t>Travel</t>
  </si>
  <si>
    <t>Subtotal non-direct hours</t>
  </si>
  <si>
    <t>Total Available Hours per DC FTE</t>
  </si>
  <si>
    <t>Total DC FTEs</t>
  </si>
  <si>
    <t>TOTAL PRODUCTIVE HOURS</t>
  </si>
  <si>
    <t>$15 per hour with CAF</t>
  </si>
  <si>
    <t>PFMLA Contribution to Trust Fund</t>
  </si>
  <si>
    <t>Effective 7/1/19</t>
  </si>
  <si>
    <t>PFMLA Trust Contribution</t>
  </si>
  <si>
    <t>Benchmarked to 101 CMR 414: Bachelor Level</t>
  </si>
  <si>
    <t>FY20</t>
  </si>
  <si>
    <t>Massachusetts Economic Indicators</t>
  </si>
  <si>
    <t>IHS Markit, Fall 2018 Forecast</t>
  </si>
  <si>
    <t>Prepared by Michael Lynch, 781-301-9129</t>
  </si>
  <si>
    <t>FY19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</si>
  <si>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</si>
  <si>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</si>
  <si>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</si>
  <si>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</si>
  <si>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</si>
  <si>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</si>
  <si>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</si>
  <si>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</si>
  <si>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</si>
  <si>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</si>
  <si>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</si>
  <si>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</si>
  <si>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</si>
  <si>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</si>
  <si>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</si>
  <si>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</si>
  <si>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</si>
  <si>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</si>
  <si>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</si>
  <si>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</si>
  <si>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</si>
  <si>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</si>
  <si>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</si>
  <si>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</si>
  <si>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</si>
  <si>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</si>
  <si>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</si>
  <si>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</si>
  <si>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</si>
  <si>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</si>
  <si>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</si>
  <si>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</si>
  <si>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</si>
  <si>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</si>
  <si>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</si>
  <si>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</si>
  <si>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</si>
  <si>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</si>
  <si>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</si>
  <si>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</si>
  <si>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</si>
  <si>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</si>
  <si>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</si>
  <si>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</si>
  <si>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</si>
  <si>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</si>
  <si>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</si>
  <si>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</si>
  <si>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</si>
  <si>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</si>
  <si>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</si>
  <si>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</si>
  <si>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</si>
  <si>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</si>
  <si>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</si>
  <si>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</si>
  <si>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</si>
  <si>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</si>
  <si>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</si>
  <si>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</si>
  <si>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</si>
  <si>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</si>
  <si>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</si>
  <si>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</si>
  <si>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</si>
  <si>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</si>
  <si>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</si>
  <si>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</si>
  <si>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</si>
  <si>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</si>
  <si>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</si>
  <si>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</si>
  <si>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</si>
  <si>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</si>
  <si>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</si>
  <si>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</si>
  <si>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</si>
  <si>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</si>
  <si>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</si>
  <si>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</si>
  <si>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</si>
  <si>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</si>
  <si>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</si>
  <si>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</si>
  <si>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</si>
  <si>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</si>
  <si>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</si>
  <si>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</si>
  <si>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</si>
  <si>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</si>
  <si>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</si>
  <si>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</si>
  <si>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</si>
  <si>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 xml:space="preserve">Prospective rate period: </t>
  </si>
  <si>
    <t>FY20 &amp; FY21</t>
  </si>
  <si>
    <t>FY20Q2</t>
  </si>
  <si>
    <t>CBDS &amp; SE Rate Reviews that are to be promulgated July 1, 2019</t>
  </si>
  <si>
    <t>Base 2019Q4 - Prospective FY20 &amp; FY21</t>
  </si>
  <si>
    <t>Level I</t>
  </si>
  <si>
    <t xml:space="preserve">Level C </t>
  </si>
  <si>
    <t xml:space="preserve">Level D </t>
  </si>
  <si>
    <t>RATE Chart</t>
  </si>
  <si>
    <t>Level  A</t>
  </si>
  <si>
    <t>I</t>
  </si>
  <si>
    <t>Direct Client Expenses (I , A &amp; B)</t>
  </si>
  <si>
    <t>Purchaser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</si>
</sst>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\$#,##0"/>
    <numFmt numFmtId="166" formatCode="_(&quot;$&quot;* #,##0_);_(&quot;$&quot;* \(#,##0\);_(&quot;$&quot;* &quot;-&quot;??_);_(@_)"/>
    <numFmt numFmtId="167" formatCode="&quot;$&quot;#,##0.00"/>
    <numFmt numFmtId="168" formatCode="0.0"/>
    <numFmt numFmtId="169" formatCode="\$#,##0.00"/>
    <numFmt numFmtId="170" formatCode="0.0%"/>
    <numFmt numFmtId="171" formatCode="&quot;$&quot;#,##0"/>
    <numFmt numFmtId="172" formatCode="_(&quot;$&quot;* #,##0.0000_);_(&quot;$&quot;* \(#,##0.0000\);_(&quot;$&quot;* &quot;-&quot;??_);_(@_)"/>
    <numFmt numFmtId="173" formatCode="0.0000"/>
    <numFmt numFmtId="174" formatCode="0.000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sz val="1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12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7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i/>
      <sz val="11"/>
      <color indexed="12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i/>
      <u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17"/>
      <name val="Calibri"/>
      <family val="2"/>
      <scheme val="minor"/>
    </font>
    <font>
      <sz val="11"/>
      <color indexed="3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79DEE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8"/>
      </top>
      <bottom style="double">
        <color indexed="58"/>
      </bottom>
      <diagonal/>
    </border>
    <border>
      <left/>
      <right/>
      <top style="thin">
        <color indexed="58"/>
      </top>
      <bottom style="double">
        <color indexed="58"/>
      </bottom>
      <diagonal/>
    </border>
    <border>
      <left/>
      <right style="medium">
        <color indexed="64"/>
      </right>
      <top style="thin">
        <color indexed="58"/>
      </top>
      <bottom style="double">
        <color indexed="5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3" applyNumberFormat="0" applyAlignment="0" applyProtection="0"/>
    <xf numFmtId="0" fontId="11" fillId="21" borderId="4" applyNumberFormat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3" applyNumberFormat="0" applyAlignment="0" applyProtection="0"/>
    <xf numFmtId="0" fontId="20" fillId="0" borderId="8" applyNumberFormat="0" applyFill="0" applyAlignment="0" applyProtection="0"/>
    <xf numFmtId="0" fontId="21" fillId="22" borderId="0" applyNumberFormat="0" applyBorder="0" applyAlignment="0" applyProtection="0"/>
    <xf numFmtId="0" fontId="6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3" fillId="0" borderId="0"/>
    <xf numFmtId="0" fontId="1" fillId="0" borderId="0"/>
    <xf numFmtId="0" fontId="12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2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9" applyNumberFormat="0" applyFont="0" applyAlignment="0" applyProtection="0"/>
    <xf numFmtId="0" fontId="25" fillId="20" borderId="10" applyNumberFormat="0" applyAlignment="0" applyProtection="0"/>
    <xf numFmtId="9" fontId="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0" applyNumberFormat="0" applyFill="0" applyBorder="0" applyAlignment="0" applyProtection="0"/>
  </cellStyleXfs>
  <cellXfs count="594">
    <xf numFmtId="0" fontId="0" fillId="0" borderId="0" xfId="0"/>
    <xf numFmtId="44" fontId="0" fillId="0" borderId="0" xfId="2" applyFont="1"/>
    <xf numFmtId="44" fontId="0" fillId="0" borderId="0" xfId="0" applyNumberFormat="1"/>
    <xf numFmtId="164" fontId="0" fillId="0" borderId="0" xfId="1" applyNumberFormat="1" applyFont="1"/>
    <xf numFmtId="0" fontId="30" fillId="0" borderId="0" xfId="4" applyFont="1"/>
    <xf numFmtId="0" fontId="31" fillId="0" borderId="0" xfId="4" applyFont="1"/>
    <xf numFmtId="0" fontId="30" fillId="0" borderId="0" xfId="4" applyFont="1" applyAlignment="1">
      <alignment horizontal="center"/>
    </xf>
    <xf numFmtId="0" fontId="32" fillId="0" borderId="0" xfId="4" applyFont="1" applyFill="1"/>
    <xf numFmtId="0" fontId="33" fillId="0" borderId="0" xfId="4" applyFont="1"/>
    <xf numFmtId="165" fontId="30" fillId="0" borderId="0" xfId="4" applyNumberFormat="1" applyFont="1"/>
    <xf numFmtId="1" fontId="30" fillId="0" borderId="0" xfId="4" applyNumberFormat="1" applyFont="1"/>
    <xf numFmtId="165" fontId="30" fillId="0" borderId="0" xfId="4" applyNumberFormat="1" applyFont="1" applyBorder="1"/>
    <xf numFmtId="0" fontId="33" fillId="0" borderId="0" xfId="4" applyFont="1" applyFill="1" applyBorder="1"/>
    <xf numFmtId="165" fontId="30" fillId="0" borderId="0" xfId="4" applyNumberFormat="1" applyFont="1" applyFill="1"/>
    <xf numFmtId="0" fontId="1" fillId="0" borderId="0" xfId="0" applyFont="1"/>
    <xf numFmtId="14" fontId="34" fillId="0" borderId="0" xfId="4" applyNumberFormat="1" applyFont="1" applyAlignment="1">
      <alignment horizontal="left"/>
    </xf>
    <xf numFmtId="0" fontId="33" fillId="0" borderId="0" xfId="4" applyFont="1" applyAlignment="1">
      <alignment horizontal="center"/>
    </xf>
    <xf numFmtId="165" fontId="31" fillId="0" borderId="0" xfId="4" applyNumberFormat="1" applyFont="1" applyBorder="1"/>
    <xf numFmtId="165" fontId="31" fillId="0" borderId="0" xfId="4" applyNumberFormat="1" applyFont="1" applyFill="1" applyBorder="1" applyAlignment="1">
      <alignment vertical="center"/>
    </xf>
    <xf numFmtId="0" fontId="31" fillId="0" borderId="23" xfId="4" applyFont="1" applyBorder="1" applyAlignment="1">
      <alignment horizontal="left" vertical="center"/>
    </xf>
    <xf numFmtId="165" fontId="31" fillId="0" borderId="0" xfId="4" applyNumberFormat="1" applyFont="1" applyBorder="1" applyAlignment="1">
      <alignment horizontal="right"/>
    </xf>
    <xf numFmtId="1" fontId="3" fillId="0" borderId="0" xfId="4" applyNumberFormat="1" applyFont="1" applyFill="1" applyBorder="1" applyAlignment="1">
      <alignment horizontal="right"/>
    </xf>
    <xf numFmtId="3" fontId="35" fillId="0" borderId="21" xfId="4" applyNumberFormat="1" applyFont="1" applyBorder="1" applyAlignment="1">
      <alignment horizontal="center"/>
    </xf>
    <xf numFmtId="3" fontId="31" fillId="0" borderId="0" xfId="4" applyNumberFormat="1" applyFont="1" applyBorder="1"/>
    <xf numFmtId="0" fontId="31" fillId="25" borderId="15" xfId="4" applyFont="1" applyFill="1" applyBorder="1" applyAlignment="1">
      <alignment horizontal="center"/>
    </xf>
    <xf numFmtId="0" fontId="2" fillId="0" borderId="0" xfId="4" applyFont="1" applyBorder="1" applyAlignment="1">
      <alignment vertical="center"/>
    </xf>
    <xf numFmtId="0" fontId="36" fillId="0" borderId="23" xfId="4" applyFont="1" applyBorder="1"/>
    <xf numFmtId="165" fontId="36" fillId="0" borderId="0" xfId="4" applyNumberFormat="1" applyFont="1" applyBorder="1" applyAlignment="1">
      <alignment horizontal="center"/>
    </xf>
    <xf numFmtId="1" fontId="36" fillId="0" borderId="0" xfId="4" applyNumberFormat="1" applyFont="1" applyBorder="1" applyAlignment="1">
      <alignment horizontal="center"/>
    </xf>
    <xf numFmtId="165" fontId="36" fillId="0" borderId="21" xfId="4" applyNumberFormat="1" applyFont="1" applyBorder="1" applyAlignment="1">
      <alignment horizontal="right"/>
    </xf>
    <xf numFmtId="0" fontId="30" fillId="0" borderId="1" xfId="4" applyFont="1" applyBorder="1" applyAlignment="1">
      <alignment horizontal="center"/>
    </xf>
    <xf numFmtId="0" fontId="31" fillId="25" borderId="25" xfId="4" applyFont="1" applyFill="1" applyBorder="1" applyAlignment="1">
      <alignment horizontal="center" vertical="center"/>
    </xf>
    <xf numFmtId="165" fontId="30" fillId="0" borderId="23" xfId="4" applyNumberFormat="1" applyFont="1" applyBorder="1"/>
    <xf numFmtId="165" fontId="33" fillId="0" borderId="0" xfId="4" applyNumberFormat="1" applyFont="1" applyBorder="1" applyAlignment="1">
      <alignment horizontal="center"/>
    </xf>
    <xf numFmtId="2" fontId="30" fillId="0" borderId="0" xfId="4" applyNumberFormat="1" applyFont="1" applyFill="1" applyBorder="1" applyAlignment="1">
      <alignment horizontal="center"/>
    </xf>
    <xf numFmtId="165" fontId="30" fillId="0" borderId="21" xfId="4" applyNumberFormat="1" applyFont="1" applyBorder="1"/>
    <xf numFmtId="165" fontId="36" fillId="0" borderId="0" xfId="4" applyNumberFormat="1" applyFont="1" applyBorder="1"/>
    <xf numFmtId="0" fontId="31" fillId="0" borderId="0" xfId="4" applyFont="1" applyBorder="1"/>
    <xf numFmtId="10" fontId="31" fillId="25" borderId="22" xfId="4" applyNumberFormat="1" applyFont="1" applyFill="1" applyBorder="1" applyAlignment="1">
      <alignment horizontal="center" vertical="center"/>
    </xf>
    <xf numFmtId="168" fontId="30" fillId="0" borderId="0" xfId="4" applyNumberFormat="1" applyFont="1"/>
    <xf numFmtId="0" fontId="30" fillId="0" borderId="26" xfId="4" applyFont="1" applyBorder="1" applyAlignment="1">
      <alignment horizontal="center"/>
    </xf>
    <xf numFmtId="167" fontId="30" fillId="0" borderId="24" xfId="4" applyNumberFormat="1" applyFont="1" applyBorder="1" applyAlignment="1">
      <alignment horizontal="center"/>
    </xf>
    <xf numFmtId="10" fontId="4" fillId="0" borderId="0" xfId="3" applyNumberFormat="1" applyFont="1" applyBorder="1"/>
    <xf numFmtId="168" fontId="30" fillId="0" borderId="0" xfId="4" applyNumberFormat="1" applyFont="1" applyBorder="1"/>
    <xf numFmtId="0" fontId="30" fillId="0" borderId="28" xfId="4" applyFont="1" applyBorder="1" applyAlignment="1">
      <alignment horizontal="center"/>
    </xf>
    <xf numFmtId="167" fontId="30" fillId="0" borderId="1" xfId="4" applyNumberFormat="1" applyFont="1" applyBorder="1" applyAlignment="1">
      <alignment horizontal="center"/>
    </xf>
    <xf numFmtId="0" fontId="31" fillId="0" borderId="30" xfId="4" applyFont="1" applyBorder="1"/>
    <xf numFmtId="165" fontId="31" fillId="0" borderId="31" xfId="4" applyNumberFormat="1" applyFont="1" applyBorder="1" applyAlignment="1">
      <alignment horizontal="center"/>
    </xf>
    <xf numFmtId="2" fontId="31" fillId="0" borderId="31" xfId="4" applyNumberFormat="1" applyFont="1" applyBorder="1" applyAlignment="1">
      <alignment horizontal="center"/>
    </xf>
    <xf numFmtId="165" fontId="31" fillId="0" borderId="32" xfId="4" applyNumberFormat="1" applyFont="1" applyBorder="1"/>
    <xf numFmtId="165" fontId="36" fillId="0" borderId="21" xfId="4" applyNumberFormat="1" applyFont="1" applyBorder="1"/>
    <xf numFmtId="165" fontId="30" fillId="0" borderId="23" xfId="4" applyNumberFormat="1" applyFont="1" applyFill="1" applyBorder="1"/>
    <xf numFmtId="10" fontId="33" fillId="0" borderId="0" xfId="4" applyNumberFormat="1" applyFont="1" applyBorder="1" applyAlignment="1">
      <alignment horizontal="center"/>
    </xf>
    <xf numFmtId="1" fontId="33" fillId="0" borderId="0" xfId="4" applyNumberFormat="1" applyFont="1" applyBorder="1" applyAlignment="1">
      <alignment horizontal="center"/>
    </xf>
    <xf numFmtId="0" fontId="31" fillId="0" borderId="33" xfId="4" applyFont="1" applyBorder="1"/>
    <xf numFmtId="165" fontId="31" fillId="0" borderId="34" xfId="4" applyNumberFormat="1" applyFont="1" applyBorder="1" applyAlignment="1">
      <alignment horizontal="center"/>
    </xf>
    <xf numFmtId="2" fontId="31" fillId="0" borderId="34" xfId="4" applyNumberFormat="1" applyFont="1" applyFill="1" applyBorder="1" applyAlignment="1">
      <alignment horizontal="center"/>
    </xf>
    <xf numFmtId="165" fontId="36" fillId="0" borderId="35" xfId="4" applyNumberFormat="1" applyFont="1" applyBorder="1"/>
    <xf numFmtId="165" fontId="33" fillId="0" borderId="0" xfId="4" applyNumberFormat="1" applyFont="1" applyBorder="1"/>
    <xf numFmtId="8" fontId="2" fillId="0" borderId="0" xfId="4" applyNumberFormat="1" applyFont="1" applyFill="1" applyBorder="1" applyAlignment="1">
      <alignment horizontal="center"/>
    </xf>
    <xf numFmtId="10" fontId="4" fillId="0" borderId="0" xfId="3" applyNumberFormat="1" applyFont="1" applyFill="1" applyBorder="1"/>
    <xf numFmtId="0" fontId="30" fillId="0" borderId="23" xfId="4" applyFont="1" applyBorder="1"/>
    <xf numFmtId="165" fontId="30" fillId="0" borderId="0" xfId="4" applyNumberFormat="1" applyFont="1" applyBorder="1" applyAlignment="1">
      <alignment horizontal="center"/>
    </xf>
    <xf numFmtId="0" fontId="31" fillId="0" borderId="0" xfId="4" applyFont="1" applyAlignment="1">
      <alignment horizontal="center"/>
    </xf>
    <xf numFmtId="0" fontId="5" fillId="0" borderId="23" xfId="0" applyFont="1" applyBorder="1"/>
    <xf numFmtId="169" fontId="30" fillId="0" borderId="0" xfId="4" applyNumberFormat="1" applyFont="1" applyBorder="1" applyAlignment="1">
      <alignment horizontal="center"/>
    </xf>
    <xf numFmtId="169" fontId="31" fillId="0" borderId="0" xfId="4" applyNumberFormat="1" applyFont="1" applyBorder="1"/>
    <xf numFmtId="0" fontId="31" fillId="0" borderId="0" xfId="4" applyFont="1" applyBorder="1" applyAlignment="1">
      <alignment horizontal="center"/>
    </xf>
    <xf numFmtId="0" fontId="30" fillId="0" borderId="12" xfId="4" applyFont="1" applyFill="1" applyBorder="1"/>
    <xf numFmtId="0" fontId="30" fillId="0" borderId="41" xfId="4" applyFont="1" applyFill="1" applyBorder="1"/>
    <xf numFmtId="0" fontId="31" fillId="0" borderId="0" xfId="4" applyFont="1" applyFill="1" applyBorder="1"/>
    <xf numFmtId="0" fontId="30" fillId="0" borderId="0" xfId="4" applyFont="1" applyBorder="1"/>
    <xf numFmtId="0" fontId="30" fillId="0" borderId="21" xfId="4" applyFont="1" applyBorder="1"/>
    <xf numFmtId="40" fontId="31" fillId="0" borderId="0" xfId="4" applyNumberFormat="1" applyFont="1"/>
    <xf numFmtId="0" fontId="30" fillId="0" borderId="42" xfId="4" applyFont="1" applyFill="1" applyBorder="1"/>
    <xf numFmtId="169" fontId="30" fillId="0" borderId="2" xfId="4" applyNumberFormat="1" applyFont="1" applyBorder="1" applyAlignment="1">
      <alignment horizontal="center"/>
    </xf>
    <xf numFmtId="165" fontId="30" fillId="0" borderId="43" xfId="4" applyNumberFormat="1" applyFont="1" applyBorder="1"/>
    <xf numFmtId="6" fontId="31" fillId="0" borderId="0" xfId="4" applyNumberFormat="1" applyFont="1"/>
    <xf numFmtId="169" fontId="31" fillId="0" borderId="0" xfId="4" applyNumberFormat="1" applyFont="1" applyBorder="1" applyAlignment="1">
      <alignment horizontal="center"/>
    </xf>
    <xf numFmtId="165" fontId="31" fillId="0" borderId="21" xfId="4" applyNumberFormat="1" applyFont="1" applyBorder="1"/>
    <xf numFmtId="165" fontId="30" fillId="0" borderId="44" xfId="4" applyNumberFormat="1" applyFont="1" applyFill="1" applyBorder="1"/>
    <xf numFmtId="0" fontId="31" fillId="0" borderId="2" xfId="4" applyFont="1" applyFill="1" applyBorder="1"/>
    <xf numFmtId="0" fontId="30" fillId="0" borderId="2" xfId="4" applyFont="1" applyBorder="1"/>
    <xf numFmtId="2" fontId="36" fillId="0" borderId="45" xfId="4" applyNumberFormat="1" applyFont="1" applyFill="1" applyBorder="1" applyAlignment="1">
      <alignment horizontal="center"/>
    </xf>
    <xf numFmtId="6" fontId="31" fillId="0" borderId="28" xfId="4" applyNumberFormat="1" applyFont="1" applyFill="1" applyBorder="1" applyAlignment="1">
      <alignment horizontal="left"/>
    </xf>
    <xf numFmtId="6" fontId="31" fillId="0" borderId="1" xfId="4" applyNumberFormat="1" applyFont="1" applyFill="1" applyBorder="1" applyAlignment="1">
      <alignment horizontal="center"/>
    </xf>
    <xf numFmtId="6" fontId="31" fillId="0" borderId="29" xfId="4" applyNumberFormat="1" applyFont="1" applyFill="1" applyBorder="1" applyAlignment="1">
      <alignment horizontal="center"/>
    </xf>
    <xf numFmtId="6" fontId="1" fillId="0" borderId="0" xfId="0" applyNumberFormat="1" applyFont="1"/>
    <xf numFmtId="0" fontId="30" fillId="0" borderId="23" xfId="4" applyFont="1" applyFill="1" applyBorder="1"/>
    <xf numFmtId="4" fontId="30" fillId="0" borderId="46" xfId="4" applyNumberFormat="1" applyFont="1" applyFill="1" applyBorder="1" applyAlignment="1">
      <alignment horizontal="center"/>
    </xf>
    <xf numFmtId="4" fontId="30" fillId="0" borderId="47" xfId="4" applyNumberFormat="1" applyFont="1" applyFill="1" applyBorder="1" applyAlignment="1">
      <alignment horizontal="center"/>
    </xf>
    <xf numFmtId="0" fontId="31" fillId="0" borderId="23" xfId="4" applyFont="1" applyBorder="1"/>
    <xf numFmtId="165" fontId="31" fillId="0" borderId="0" xfId="4" applyNumberFormat="1" applyFont="1" applyBorder="1" applyAlignment="1">
      <alignment horizontal="center"/>
    </xf>
    <xf numFmtId="2" fontId="31" fillId="0" borderId="0" xfId="4" applyNumberFormat="1" applyFont="1" applyBorder="1" applyAlignment="1">
      <alignment horizontal="center"/>
    </xf>
    <xf numFmtId="169" fontId="31" fillId="0" borderId="0" xfId="4" applyNumberFormat="1" applyFont="1"/>
    <xf numFmtId="4" fontId="30" fillId="0" borderId="48" xfId="4" applyNumberFormat="1" applyFont="1" applyFill="1" applyBorder="1" applyAlignment="1">
      <alignment horizontal="center"/>
    </xf>
    <xf numFmtId="4" fontId="30" fillId="0" borderId="49" xfId="4" applyNumberFormat="1" applyFont="1" applyFill="1" applyBorder="1" applyAlignment="1">
      <alignment horizontal="center"/>
    </xf>
    <xf numFmtId="10" fontId="33" fillId="0" borderId="0" xfId="4" applyNumberFormat="1" applyFont="1" applyFill="1" applyBorder="1" applyAlignment="1">
      <alignment horizontal="center"/>
    </xf>
    <xf numFmtId="2" fontId="30" fillId="0" borderId="0" xfId="4" applyNumberFormat="1" applyFont="1" applyBorder="1" applyAlignment="1">
      <alignment horizontal="center"/>
    </xf>
    <xf numFmtId="6" fontId="1" fillId="0" borderId="0" xfId="0" applyNumberFormat="1" applyFont="1" applyAlignment="1">
      <alignment horizontal="center"/>
    </xf>
    <xf numFmtId="0" fontId="36" fillId="0" borderId="50" xfId="4" applyFont="1" applyBorder="1"/>
    <xf numFmtId="165" fontId="36" fillId="0" borderId="51" xfId="4" applyNumberFormat="1" applyFont="1" applyBorder="1" applyAlignment="1">
      <alignment horizontal="center"/>
    </xf>
    <xf numFmtId="2" fontId="36" fillId="0" borderId="51" xfId="4" applyNumberFormat="1" applyFont="1" applyBorder="1" applyAlignment="1">
      <alignment horizontal="center"/>
    </xf>
    <xf numFmtId="165" fontId="31" fillId="0" borderId="52" xfId="4" applyNumberFormat="1" applyFont="1" applyBorder="1"/>
    <xf numFmtId="165" fontId="30" fillId="0" borderId="19" xfId="4" applyNumberFormat="1" applyFont="1" applyFill="1" applyBorder="1"/>
    <xf numFmtId="4" fontId="30" fillId="0" borderId="38" xfId="4" applyNumberFormat="1" applyFont="1" applyFill="1" applyBorder="1" applyAlignment="1">
      <alignment horizontal="center"/>
    </xf>
    <xf numFmtId="4" fontId="30" fillId="0" borderId="53" xfId="4" applyNumberFormat="1" applyFont="1" applyFill="1" applyBorder="1" applyAlignment="1">
      <alignment horizontal="center"/>
    </xf>
    <xf numFmtId="2" fontId="36" fillId="0" borderId="0" xfId="4" applyNumberFormat="1" applyFont="1" applyBorder="1" applyAlignment="1">
      <alignment horizontal="center"/>
    </xf>
    <xf numFmtId="165" fontId="31" fillId="0" borderId="54" xfId="4" applyNumberFormat="1" applyFont="1" applyFill="1" applyBorder="1" applyAlignment="1">
      <alignment horizontal="right"/>
    </xf>
    <xf numFmtId="4" fontId="31" fillId="0" borderId="55" xfId="4" applyNumberFormat="1" applyFont="1" applyFill="1" applyBorder="1" applyAlignment="1">
      <alignment horizontal="center"/>
    </xf>
    <xf numFmtId="4" fontId="31" fillId="0" borderId="56" xfId="4" applyNumberFormat="1" applyFont="1" applyFill="1" applyBorder="1" applyAlignment="1">
      <alignment horizontal="center"/>
    </xf>
    <xf numFmtId="169" fontId="32" fillId="0" borderId="23" xfId="4" applyNumberFormat="1" applyFont="1" applyBorder="1"/>
    <xf numFmtId="10" fontId="32" fillId="0" borderId="0" xfId="3" applyNumberFormat="1" applyFont="1" applyBorder="1" applyAlignment="1">
      <alignment horizontal="center"/>
    </xf>
    <xf numFmtId="169" fontId="32" fillId="0" borderId="0" xfId="4" applyNumberFormat="1" applyFont="1" applyBorder="1" applyAlignment="1">
      <alignment horizontal="center"/>
    </xf>
    <xf numFmtId="169" fontId="37" fillId="0" borderId="21" xfId="4" applyNumberFormat="1" applyFont="1" applyBorder="1"/>
    <xf numFmtId="10" fontId="30" fillId="0" borderId="0" xfId="4" applyNumberFormat="1" applyFont="1" applyBorder="1" applyAlignment="1">
      <alignment horizontal="center"/>
    </xf>
    <xf numFmtId="0" fontId="30" fillId="0" borderId="0" xfId="4" applyFont="1" applyBorder="1" applyAlignment="1">
      <alignment horizontal="center"/>
    </xf>
    <xf numFmtId="167" fontId="30" fillId="0" borderId="21" xfId="4" applyNumberFormat="1" applyFont="1" applyBorder="1"/>
    <xf numFmtId="1" fontId="30" fillId="0" borderId="0" xfId="4" applyNumberFormat="1" applyFont="1" applyBorder="1"/>
    <xf numFmtId="167" fontId="31" fillId="0" borderId="0" xfId="4" applyNumberFormat="1" applyFont="1" applyBorder="1"/>
    <xf numFmtId="9" fontId="38" fillId="0" borderId="37" xfId="3" applyFont="1" applyFill="1" applyBorder="1" applyAlignment="1">
      <alignment horizontal="center"/>
    </xf>
    <xf numFmtId="9" fontId="38" fillId="0" borderId="59" xfId="3" applyNumberFormat="1" applyFont="1" applyFill="1" applyBorder="1" applyAlignment="1">
      <alignment horizontal="center"/>
    </xf>
    <xf numFmtId="9" fontId="38" fillId="0" borderId="53" xfId="3" applyNumberFormat="1" applyFont="1" applyFill="1" applyBorder="1" applyAlignment="1">
      <alignment horizontal="center"/>
    </xf>
    <xf numFmtId="167" fontId="30" fillId="0" borderId="21" xfId="4" applyNumberFormat="1" applyFont="1" applyFill="1" applyBorder="1"/>
    <xf numFmtId="165" fontId="31" fillId="0" borderId="0" xfId="4" applyNumberFormat="1" applyFont="1"/>
    <xf numFmtId="167" fontId="31" fillId="0" borderId="0" xfId="4" applyNumberFormat="1" applyFont="1" applyFill="1" applyBorder="1"/>
    <xf numFmtId="165" fontId="31" fillId="0" borderId="23" xfId="4" applyNumberFormat="1" applyFont="1" applyFill="1" applyBorder="1" applyAlignment="1">
      <alignment horizontal="center"/>
    </xf>
    <xf numFmtId="3" fontId="35" fillId="0" borderId="0" xfId="4" applyNumberFormat="1" applyFont="1" applyFill="1" applyBorder="1" applyAlignment="1">
      <alignment horizontal="center"/>
    </xf>
    <xf numFmtId="4" fontId="31" fillId="0" borderId="41" xfId="4" applyNumberFormat="1" applyFont="1" applyFill="1" applyBorder="1" applyAlignment="1">
      <alignment horizontal="center"/>
    </xf>
    <xf numFmtId="3" fontId="35" fillId="0" borderId="2" xfId="4" applyNumberFormat="1" applyFont="1" applyFill="1" applyBorder="1" applyAlignment="1">
      <alignment horizontal="center"/>
    </xf>
    <xf numFmtId="4" fontId="31" fillId="0" borderId="2" xfId="4" applyNumberFormat="1" applyFont="1" applyFill="1" applyBorder="1" applyAlignment="1">
      <alignment horizontal="center"/>
    </xf>
    <xf numFmtId="4" fontId="30" fillId="0" borderId="43" xfId="4" applyNumberFormat="1" applyFont="1" applyFill="1" applyBorder="1" applyAlignment="1">
      <alignment horizontal="center"/>
    </xf>
    <xf numFmtId="0" fontId="31" fillId="0" borderId="16" xfId="4" applyFont="1" applyBorder="1"/>
    <xf numFmtId="10" fontId="30" fillId="0" borderId="17" xfId="4" applyNumberFormat="1" applyFont="1" applyBorder="1" applyAlignment="1">
      <alignment horizontal="center"/>
    </xf>
    <xf numFmtId="0" fontId="30" fillId="0" borderId="17" xfId="4" applyFont="1" applyBorder="1" applyAlignment="1">
      <alignment horizontal="center"/>
    </xf>
    <xf numFmtId="167" fontId="31" fillId="26" borderId="18" xfId="4" applyNumberFormat="1" applyFont="1" applyFill="1" applyBorder="1"/>
    <xf numFmtId="0" fontId="31" fillId="0" borderId="62" xfId="4" applyFont="1" applyFill="1" applyBorder="1" applyAlignment="1"/>
    <xf numFmtId="0" fontId="31" fillId="0" borderId="61" xfId="4" applyFont="1" applyFill="1" applyBorder="1" applyAlignment="1"/>
    <xf numFmtId="0" fontId="31" fillId="0" borderId="63" xfId="4" applyFont="1" applyFill="1" applyBorder="1" applyAlignment="1"/>
    <xf numFmtId="167" fontId="30" fillId="0" borderId="0" xfId="4" applyNumberFormat="1" applyFont="1"/>
    <xf numFmtId="10" fontId="30" fillId="0" borderId="0" xfId="4" applyNumberFormat="1" applyFont="1" applyFill="1" applyBorder="1" applyAlignment="1">
      <alignment horizontal="center"/>
    </xf>
    <xf numFmtId="0" fontId="39" fillId="0" borderId="0" xfId="4" applyFont="1" applyBorder="1"/>
    <xf numFmtId="165" fontId="31" fillId="0" borderId="0" xfId="4" applyNumberFormat="1" applyFont="1" applyFill="1" applyBorder="1" applyAlignment="1">
      <alignment horizontal="center" vertical="center"/>
    </xf>
    <xf numFmtId="169" fontId="30" fillId="0" borderId="0" xfId="4" applyNumberFormat="1" applyFont="1" applyFill="1" applyBorder="1" applyAlignment="1">
      <alignment horizontal="center"/>
    </xf>
    <xf numFmtId="165" fontId="30" fillId="0" borderId="42" xfId="4" applyNumberFormat="1" applyFont="1" applyFill="1" applyBorder="1"/>
    <xf numFmtId="0" fontId="33" fillId="0" borderId="0" xfId="4" applyFont="1" applyBorder="1" applyAlignment="1">
      <alignment horizontal="center"/>
    </xf>
    <xf numFmtId="0" fontId="30" fillId="0" borderId="0" xfId="4" applyFont="1" applyFill="1" applyBorder="1"/>
    <xf numFmtId="3" fontId="40" fillId="0" borderId="0" xfId="4" applyNumberFormat="1" applyFont="1" applyFill="1" applyBorder="1"/>
    <xf numFmtId="0" fontId="33" fillId="0" borderId="0" xfId="4" applyFont="1" applyFill="1" applyBorder="1" applyAlignment="1">
      <alignment horizontal="center"/>
    </xf>
    <xf numFmtId="3" fontId="40" fillId="0" borderId="0" xfId="4" applyNumberFormat="1" applyFont="1" applyFill="1" applyBorder="1" applyAlignment="1">
      <alignment horizontal="center"/>
    </xf>
    <xf numFmtId="168" fontId="30" fillId="0" borderId="23" xfId="4" applyNumberFormat="1" applyFont="1" applyBorder="1"/>
    <xf numFmtId="165" fontId="30" fillId="0" borderId="0" xfId="4" applyNumberFormat="1" applyFont="1" applyFill="1" applyBorder="1" applyAlignment="1">
      <alignment horizontal="center"/>
    </xf>
    <xf numFmtId="0" fontId="33" fillId="0" borderId="64" xfId="4" applyFont="1" applyBorder="1" applyAlignment="1">
      <alignment horizontal="center"/>
    </xf>
    <xf numFmtId="0" fontId="30" fillId="0" borderId="43" xfId="4" applyFont="1" applyBorder="1"/>
    <xf numFmtId="165" fontId="31" fillId="0" borderId="0" xfId="4" applyNumberFormat="1" applyFont="1" applyFill="1" applyBorder="1"/>
    <xf numFmtId="165" fontId="30" fillId="0" borderId="65" xfId="4" applyNumberFormat="1" applyFont="1" applyFill="1" applyBorder="1"/>
    <xf numFmtId="0" fontId="30" fillId="0" borderId="59" xfId="4" applyFont="1" applyFill="1" applyBorder="1"/>
    <xf numFmtId="0" fontId="31" fillId="0" borderId="20" xfId="4" applyFont="1" applyFill="1" applyBorder="1"/>
    <xf numFmtId="0" fontId="30" fillId="0" borderId="20" xfId="4" applyFont="1" applyBorder="1"/>
    <xf numFmtId="165" fontId="30" fillId="0" borderId="20" xfId="4" applyNumberFormat="1" applyFont="1" applyBorder="1"/>
    <xf numFmtId="0" fontId="30" fillId="0" borderId="40" xfId="4" applyFont="1" applyBorder="1"/>
    <xf numFmtId="10" fontId="31" fillId="0" borderId="0" xfId="4" applyNumberFormat="1" applyFont="1"/>
    <xf numFmtId="165" fontId="41" fillId="0" borderId="0" xfId="4" applyNumberFormat="1" applyFont="1" applyFill="1" applyBorder="1"/>
    <xf numFmtId="10" fontId="2" fillId="0" borderId="0" xfId="4" applyNumberFormat="1" applyFont="1" applyBorder="1"/>
    <xf numFmtId="0" fontId="2" fillId="0" borderId="0" xfId="4" applyFont="1" applyBorder="1"/>
    <xf numFmtId="0" fontId="41" fillId="0" borderId="0" xfId="4" applyFont="1" applyBorder="1"/>
    <xf numFmtId="0" fontId="4" fillId="0" borderId="0" xfId="4" applyFont="1" applyFill="1" applyBorder="1"/>
    <xf numFmtId="165" fontId="2" fillId="0" borderId="0" xfId="4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10" fontId="4" fillId="0" borderId="0" xfId="4" applyNumberFormat="1" applyFont="1" applyFill="1" applyBorder="1" applyAlignment="1">
      <alignment horizontal="center"/>
    </xf>
    <xf numFmtId="165" fontId="36" fillId="0" borderId="0" xfId="4" applyNumberFormat="1" applyFont="1" applyFill="1" applyBorder="1"/>
    <xf numFmtId="2" fontId="4" fillId="0" borderId="0" xfId="4" applyNumberFormat="1" applyFont="1" applyFill="1" applyBorder="1"/>
    <xf numFmtId="165" fontId="42" fillId="0" borderId="0" xfId="4" applyNumberFormat="1" applyFont="1" applyFill="1" applyBorder="1"/>
    <xf numFmtId="10" fontId="41" fillId="0" borderId="0" xfId="4" applyNumberFormat="1" applyFont="1" applyBorder="1"/>
    <xf numFmtId="8" fontId="31" fillId="0" borderId="0" xfId="4" applyNumberFormat="1" applyFont="1" applyFill="1" applyBorder="1"/>
    <xf numFmtId="0" fontId="41" fillId="0" borderId="0" xfId="4" applyFont="1" applyBorder="1" applyAlignment="1">
      <alignment horizontal="right" vertical="center"/>
    </xf>
    <xf numFmtId="165" fontId="41" fillId="0" borderId="0" xfId="4" applyNumberFormat="1" applyFont="1" applyFill="1" applyBorder="1" applyAlignment="1">
      <alignment horizontal="center" vertical="center" wrapText="1"/>
    </xf>
    <xf numFmtId="165" fontId="41" fillId="0" borderId="0" xfId="4" applyNumberFormat="1" applyFont="1" applyFill="1" applyBorder="1" applyAlignment="1">
      <alignment vertical="center"/>
    </xf>
    <xf numFmtId="0" fontId="4" fillId="0" borderId="0" xfId="4" applyFont="1" applyBorder="1"/>
    <xf numFmtId="165" fontId="4" fillId="0" borderId="0" xfId="4" applyNumberFormat="1" applyFont="1" applyBorder="1"/>
    <xf numFmtId="169" fontId="31" fillId="0" borderId="0" xfId="4" applyNumberFormat="1" applyFont="1" applyFill="1" applyBorder="1"/>
    <xf numFmtId="165" fontId="30" fillId="0" borderId="0" xfId="4" applyNumberFormat="1" applyFont="1" applyFill="1" applyBorder="1"/>
    <xf numFmtId="1" fontId="4" fillId="0" borderId="0" xfId="4" applyNumberFormat="1" applyFont="1" applyBorder="1"/>
    <xf numFmtId="1" fontId="30" fillId="0" borderId="0" xfId="4" applyNumberFormat="1" applyFont="1" applyFill="1" applyBorder="1"/>
    <xf numFmtId="6" fontId="41" fillId="0" borderId="0" xfId="0" applyNumberFormat="1" applyFont="1" applyBorder="1"/>
    <xf numFmtId="0" fontId="0" fillId="0" borderId="0" xfId="0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44" fontId="0" fillId="0" borderId="0" xfId="2" applyFont="1" applyFill="1" applyBorder="1"/>
    <xf numFmtId="10" fontId="4" fillId="0" borderId="0" xfId="3" applyNumberFormat="1" applyFont="1" applyFill="1" applyBorder="1" applyAlignment="1">
      <alignment horizontal="center"/>
    </xf>
    <xf numFmtId="6" fontId="4" fillId="0" borderId="0" xfId="0" applyNumberFormat="1" applyFont="1" applyBorder="1"/>
    <xf numFmtId="0" fontId="4" fillId="0" borderId="0" xfId="4" applyFont="1" applyBorder="1" applyAlignment="1">
      <alignment horizontal="center"/>
    </xf>
    <xf numFmtId="0" fontId="30" fillId="0" borderId="0" xfId="4" applyFont="1" applyFill="1" applyBorder="1" applyAlignment="1">
      <alignment horizontal="left"/>
    </xf>
    <xf numFmtId="0" fontId="30" fillId="0" borderId="0" xfId="4" applyFont="1" applyFill="1" applyBorder="1" applyAlignment="1">
      <alignment horizontal="center"/>
    </xf>
    <xf numFmtId="170" fontId="31" fillId="0" borderId="0" xfId="101" applyNumberFormat="1" applyFont="1" applyFill="1" applyBorder="1" applyAlignment="1">
      <alignment horizontal="center"/>
    </xf>
    <xf numFmtId="0" fontId="43" fillId="0" borderId="0" xfId="4" applyFont="1" applyAlignment="1">
      <alignment horizontal="center"/>
    </xf>
    <xf numFmtId="0" fontId="37" fillId="0" borderId="0" xfId="4" applyFont="1"/>
    <xf numFmtId="165" fontId="37" fillId="0" borderId="0" xfId="4" applyNumberFormat="1" applyFont="1"/>
    <xf numFmtId="165" fontId="37" fillId="0" borderId="0" xfId="4" applyNumberFormat="1" applyFont="1" applyFill="1" applyBorder="1" applyAlignment="1">
      <alignment vertical="top" wrapText="1"/>
    </xf>
    <xf numFmtId="165" fontId="37" fillId="0" borderId="0" xfId="4" applyNumberFormat="1" applyFont="1" applyFill="1" applyBorder="1"/>
    <xf numFmtId="165" fontId="37" fillId="0" borderId="0" xfId="4" applyNumberFormat="1" applyFont="1" applyFill="1"/>
    <xf numFmtId="3" fontId="33" fillId="0" borderId="0" xfId="98" applyNumberFormat="1" applyFont="1" applyFill="1" applyBorder="1"/>
    <xf numFmtId="4" fontId="33" fillId="0" borderId="0" xfId="98" applyNumberFormat="1" applyFont="1" applyFill="1" applyBorder="1"/>
    <xf numFmtId="9" fontId="0" fillId="0" borderId="0" xfId="3" applyFont="1"/>
    <xf numFmtId="0" fontId="0" fillId="0" borderId="1" xfId="0" applyBorder="1"/>
    <xf numFmtId="0" fontId="0" fillId="0" borderId="46" xfId="0" applyBorder="1"/>
    <xf numFmtId="0" fontId="0" fillId="0" borderId="69" xfId="0" applyBorder="1" applyAlignment="1">
      <alignment horizontal="center"/>
    </xf>
    <xf numFmtId="44" fontId="0" fillId="0" borderId="48" xfId="0" applyNumberFormat="1" applyBorder="1"/>
    <xf numFmtId="0" fontId="0" fillId="0" borderId="48" xfId="0" applyBorder="1"/>
    <xf numFmtId="0" fontId="0" fillId="0" borderId="68" xfId="0" applyBorder="1" applyAlignment="1">
      <alignment horizontal="center"/>
    </xf>
    <xf numFmtId="44" fontId="0" fillId="0" borderId="1" xfId="0" applyNumberFormat="1" applyBorder="1"/>
    <xf numFmtId="44" fontId="0" fillId="26" borderId="1" xfId="0" applyNumberFormat="1" applyFill="1" applyBorder="1"/>
    <xf numFmtId="0" fontId="3" fillId="27" borderId="0" xfId="0" applyFont="1" applyFill="1"/>
    <xf numFmtId="0" fontId="3" fillId="0" borderId="0" xfId="0" applyFont="1"/>
    <xf numFmtId="0" fontId="0" fillId="27" borderId="0" xfId="0" applyFill="1"/>
    <xf numFmtId="44" fontId="0" fillId="27" borderId="0" xfId="45" applyFont="1" applyFill="1"/>
    <xf numFmtId="44" fontId="0" fillId="27" borderId="0" xfId="0" applyNumberFormat="1" applyFill="1"/>
    <xf numFmtId="44" fontId="0" fillId="27" borderId="0" xfId="2" applyFont="1" applyFill="1"/>
    <xf numFmtId="44" fontId="3" fillId="27" borderId="0" xfId="45" applyFont="1" applyFill="1"/>
    <xf numFmtId="2" fontId="3" fillId="27" borderId="0" xfId="37" applyNumberFormat="1" applyFont="1" applyFill="1"/>
    <xf numFmtId="44" fontId="3" fillId="27" borderId="0" xfId="0" applyNumberFormat="1" applyFont="1" applyFill="1"/>
    <xf numFmtId="44" fontId="3" fillId="27" borderId="0" xfId="2" applyFont="1" applyFill="1"/>
    <xf numFmtId="44" fontId="0" fillId="0" borderId="0" xfId="45" applyFont="1"/>
    <xf numFmtId="44" fontId="3" fillId="0" borderId="0" xfId="45" applyFont="1"/>
    <xf numFmtId="44" fontId="3" fillId="0" borderId="0" xfId="0" applyNumberFormat="1" applyFont="1"/>
    <xf numFmtId="44" fontId="3" fillId="0" borderId="0" xfId="2" applyFont="1"/>
    <xf numFmtId="0" fontId="30" fillId="0" borderId="24" xfId="4" applyFont="1" applyBorder="1" applyAlignment="1">
      <alignment horizontal="center"/>
    </xf>
    <xf numFmtId="167" fontId="30" fillId="24" borderId="41" xfId="4" applyNumberFormat="1" applyFont="1" applyFill="1" applyBorder="1" applyAlignment="1">
      <alignment horizontal="center"/>
    </xf>
    <xf numFmtId="8" fontId="31" fillId="0" borderId="24" xfId="4" applyNumberFormat="1" applyFont="1" applyBorder="1" applyAlignment="1">
      <alignment horizontal="center"/>
    </xf>
    <xf numFmtId="10" fontId="30" fillId="0" borderId="24" xfId="3" applyNumberFormat="1" applyFont="1" applyBorder="1"/>
    <xf numFmtId="167" fontId="30" fillId="24" borderId="67" xfId="4" applyNumberFormat="1" applyFont="1" applyFill="1" applyBorder="1" applyAlignment="1">
      <alignment horizontal="center"/>
    </xf>
    <xf numFmtId="8" fontId="31" fillId="0" borderId="1" xfId="4" applyNumberFormat="1" applyFont="1" applyBorder="1" applyAlignment="1">
      <alignment horizontal="center"/>
    </xf>
    <xf numFmtId="10" fontId="30" fillId="0" borderId="1" xfId="3" applyNumberFormat="1" applyFont="1" applyBorder="1"/>
    <xf numFmtId="6" fontId="30" fillId="0" borderId="13" xfId="4" applyNumberFormat="1" applyFont="1" applyFill="1" applyBorder="1"/>
    <xf numFmtId="6" fontId="30" fillId="0" borderId="0" xfId="4" applyNumberFormat="1" applyFont="1" applyFill="1" applyBorder="1"/>
    <xf numFmtId="6" fontId="30" fillId="0" borderId="2" xfId="4" applyNumberFormat="1" applyFont="1" applyFill="1" applyBorder="1"/>
    <xf numFmtId="169" fontId="46" fillId="0" borderId="0" xfId="4" applyNumberFormat="1" applyFont="1" applyBorder="1"/>
    <xf numFmtId="1" fontId="42" fillId="0" borderId="0" xfId="4" applyNumberFormat="1" applyFont="1" applyFill="1" applyAlignment="1">
      <alignment horizontal="right"/>
    </xf>
    <xf numFmtId="3" fontId="40" fillId="0" borderId="0" xfId="4" applyNumberFormat="1" applyFont="1"/>
    <xf numFmtId="10" fontId="30" fillId="0" borderId="66" xfId="4" applyNumberFormat="1" applyFont="1" applyFill="1" applyBorder="1" applyAlignment="1">
      <alignment horizontal="center"/>
    </xf>
    <xf numFmtId="165" fontId="37" fillId="0" borderId="62" xfId="4" applyNumberFormat="1" applyFont="1" applyFill="1" applyBorder="1"/>
    <xf numFmtId="10" fontId="31" fillId="0" borderId="61" xfId="4" applyNumberFormat="1" applyFont="1" applyBorder="1"/>
    <xf numFmtId="0" fontId="31" fillId="0" borderId="61" xfId="4" applyFont="1" applyBorder="1"/>
    <xf numFmtId="0" fontId="37" fillId="0" borderId="61" xfId="4" applyFont="1" applyBorder="1"/>
    <xf numFmtId="0" fontId="33" fillId="0" borderId="61" xfId="4" applyFont="1" applyFill="1" applyBorder="1"/>
    <xf numFmtId="165" fontId="31" fillId="0" borderId="61" xfId="4" applyNumberFormat="1" applyFont="1" applyFill="1" applyBorder="1" applyAlignment="1">
      <alignment horizontal="center"/>
    </xf>
    <xf numFmtId="0" fontId="33" fillId="0" borderId="75" xfId="4" applyFont="1" applyFill="1" applyBorder="1" applyAlignment="1">
      <alignment horizontal="center"/>
    </xf>
    <xf numFmtId="165" fontId="37" fillId="0" borderId="42" xfId="4" applyNumberFormat="1" applyFont="1" applyFill="1" applyBorder="1"/>
    <xf numFmtId="10" fontId="31" fillId="0" borderId="0" xfId="4" applyNumberFormat="1" applyFont="1" applyBorder="1"/>
    <xf numFmtId="0" fontId="37" fillId="0" borderId="0" xfId="4" applyFont="1" applyBorder="1"/>
    <xf numFmtId="165" fontId="36" fillId="0" borderId="0" xfId="4" applyNumberFormat="1" applyFont="1" applyFill="1" applyBorder="1" applyAlignment="1">
      <alignment horizontal="center"/>
    </xf>
    <xf numFmtId="10" fontId="30" fillId="0" borderId="69" xfId="4" applyNumberFormat="1" applyFont="1" applyFill="1" applyBorder="1" applyAlignment="1">
      <alignment horizontal="center"/>
    </xf>
    <xf numFmtId="2" fontId="30" fillId="0" borderId="0" xfId="4" applyNumberFormat="1" applyFont="1" applyFill="1" applyBorder="1"/>
    <xf numFmtId="2" fontId="30" fillId="0" borderId="69" xfId="4" applyNumberFormat="1" applyFont="1" applyFill="1" applyBorder="1"/>
    <xf numFmtId="10" fontId="37" fillId="0" borderId="0" xfId="4" applyNumberFormat="1" applyFont="1" applyBorder="1"/>
    <xf numFmtId="0" fontId="37" fillId="0" borderId="42" xfId="4" applyFont="1" applyBorder="1" applyAlignment="1">
      <alignment horizontal="right" vertical="center"/>
    </xf>
    <xf numFmtId="165" fontId="37" fillId="0" borderId="0" xfId="4" applyNumberFormat="1" applyFont="1" applyFill="1" applyBorder="1" applyAlignment="1">
      <alignment horizontal="center" vertical="center" wrapText="1"/>
    </xf>
    <xf numFmtId="165" fontId="37" fillId="0" borderId="0" xfId="4" applyNumberFormat="1" applyFont="1" applyFill="1" applyBorder="1" applyAlignment="1">
      <alignment vertical="center"/>
    </xf>
    <xf numFmtId="0" fontId="30" fillId="0" borderId="69" xfId="4" applyFont="1" applyBorder="1"/>
    <xf numFmtId="0" fontId="31" fillId="0" borderId="42" xfId="4" applyFont="1" applyBorder="1" applyAlignment="1">
      <alignment vertical="center"/>
    </xf>
    <xf numFmtId="0" fontId="37" fillId="0" borderId="42" xfId="4" applyFont="1" applyBorder="1"/>
    <xf numFmtId="6" fontId="47" fillId="0" borderId="42" xfId="0" applyNumberFormat="1" applyFont="1" applyBorder="1"/>
    <xf numFmtId="0" fontId="31" fillId="0" borderId="0" xfId="4" applyFont="1" applyFill="1" applyBorder="1" applyAlignment="1">
      <alignment horizontal="center"/>
    </xf>
    <xf numFmtId="165" fontId="31" fillId="0" borderId="0" xfId="4" applyNumberFormat="1" applyFont="1" applyFill="1" applyBorder="1" applyAlignment="1">
      <alignment horizontal="center"/>
    </xf>
    <xf numFmtId="10" fontId="30" fillId="0" borderId="0" xfId="3" applyNumberFormat="1" applyFont="1" applyFill="1" applyBorder="1" applyAlignment="1">
      <alignment horizontal="center"/>
    </xf>
    <xf numFmtId="0" fontId="31" fillId="0" borderId="69" xfId="4" applyFont="1" applyBorder="1"/>
    <xf numFmtId="6" fontId="47" fillId="0" borderId="41" xfId="0" applyNumberFormat="1" applyFont="1" applyBorder="1"/>
    <xf numFmtId="0" fontId="30" fillId="0" borderId="2" xfId="4" applyFont="1" applyFill="1" applyBorder="1" applyAlignment="1">
      <alignment horizontal="center"/>
    </xf>
    <xf numFmtId="165" fontId="30" fillId="0" borderId="2" xfId="4" applyNumberFormat="1" applyFont="1" applyBorder="1"/>
    <xf numFmtId="0" fontId="30" fillId="0" borderId="64" xfId="4" applyFont="1" applyBorder="1"/>
    <xf numFmtId="6" fontId="1" fillId="0" borderId="0" xfId="0" applyNumberFormat="1" applyFont="1" applyBorder="1"/>
    <xf numFmtId="0" fontId="30" fillId="0" borderId="76" xfId="4" applyFont="1" applyFill="1" applyBorder="1"/>
    <xf numFmtId="6" fontId="31" fillId="0" borderId="24" xfId="4" applyNumberFormat="1" applyFont="1" applyFill="1" applyBorder="1" applyAlignment="1">
      <alignment horizontal="center"/>
    </xf>
    <xf numFmtId="10" fontId="30" fillId="0" borderId="0" xfId="3" applyNumberFormat="1" applyFont="1"/>
    <xf numFmtId="0" fontId="1" fillId="0" borderId="0" xfId="79" applyFont="1"/>
    <xf numFmtId="0" fontId="1" fillId="0" borderId="0" xfId="79" applyFont="1" applyFill="1"/>
    <xf numFmtId="0" fontId="30" fillId="0" borderId="0" xfId="79" applyFont="1"/>
    <xf numFmtId="0" fontId="36" fillId="0" borderId="12" xfId="84" applyFont="1" applyBorder="1" applyAlignment="1">
      <alignment horizontal="left"/>
    </xf>
    <xf numFmtId="0" fontId="36" fillId="0" borderId="13" xfId="84" applyFont="1" applyBorder="1" applyAlignment="1">
      <alignment horizontal="right"/>
    </xf>
    <xf numFmtId="3" fontId="36" fillId="0" borderId="14" xfId="84" applyNumberFormat="1" applyFont="1" applyBorder="1" applyAlignment="1">
      <alignment horizontal="center"/>
    </xf>
    <xf numFmtId="0" fontId="30" fillId="0" borderId="23" xfId="90" applyFont="1" applyBorder="1" applyAlignment="1">
      <alignment horizontal="left"/>
    </xf>
    <xf numFmtId="42" fontId="49" fillId="0" borderId="0" xfId="90" applyNumberFormat="1" applyFont="1" applyBorder="1"/>
    <xf numFmtId="49" fontId="0" fillId="0" borderId="62" xfId="79" applyNumberFormat="1" applyFont="1" applyBorder="1" applyAlignment="1"/>
    <xf numFmtId="49" fontId="1" fillId="0" borderId="0" xfId="79" applyNumberFormat="1" applyFont="1" applyFill="1" applyBorder="1" applyAlignment="1"/>
    <xf numFmtId="49" fontId="1" fillId="0" borderId="21" xfId="79" applyNumberFormat="1" applyFont="1" applyFill="1" applyBorder="1" applyAlignment="1"/>
    <xf numFmtId="0" fontId="36" fillId="0" borderId="23" xfId="84" applyFont="1" applyBorder="1" applyAlignment="1">
      <alignment horizontal="center"/>
    </xf>
    <xf numFmtId="37" fontId="36" fillId="0" borderId="0" xfId="33" applyNumberFormat="1" applyFont="1" applyBorder="1" applyAlignment="1">
      <alignment horizontal="center" vertical="center"/>
    </xf>
    <xf numFmtId="0" fontId="36" fillId="0" borderId="0" xfId="84" applyFont="1" applyBorder="1" applyAlignment="1">
      <alignment horizontal="right"/>
    </xf>
    <xf numFmtId="3" fontId="36" fillId="0" borderId="21" xfId="84" applyNumberFormat="1" applyFont="1" applyBorder="1"/>
    <xf numFmtId="0" fontId="30" fillId="0" borderId="23" xfId="90" applyFont="1" applyFill="1" applyBorder="1" applyAlignment="1">
      <alignment horizontal="left"/>
    </xf>
    <xf numFmtId="49" fontId="0" fillId="0" borderId="42" xfId="79" applyNumberFormat="1" applyFont="1" applyBorder="1" applyAlignment="1"/>
    <xf numFmtId="0" fontId="36" fillId="0" borderId="71" xfId="84" applyFont="1" applyBorder="1"/>
    <xf numFmtId="0" fontId="36" fillId="0" borderId="81" xfId="84" applyFont="1" applyBorder="1" applyAlignment="1">
      <alignment horizontal="center"/>
    </xf>
    <xf numFmtId="0" fontId="36" fillId="0" borderId="82" xfId="84" applyFont="1" applyBorder="1" applyAlignment="1">
      <alignment horizontal="center"/>
    </xf>
    <xf numFmtId="0" fontId="30" fillId="0" borderId="44" xfId="90" applyFont="1" applyBorder="1" applyAlignment="1">
      <alignment horizontal="left"/>
    </xf>
    <xf numFmtId="49" fontId="0" fillId="0" borderId="41" xfId="79" applyNumberFormat="1" applyFont="1" applyBorder="1" applyAlignment="1"/>
    <xf numFmtId="49" fontId="1" fillId="0" borderId="2" xfId="79" applyNumberFormat="1" applyFont="1" applyFill="1" applyBorder="1" applyAlignment="1"/>
    <xf numFmtId="49" fontId="1" fillId="0" borderId="43" xfId="79" applyNumberFormat="1" applyFont="1" applyFill="1" applyBorder="1" applyAlignment="1"/>
    <xf numFmtId="0" fontId="30" fillId="0" borderId="23" xfId="90" applyFont="1" applyBorder="1" applyAlignment="1"/>
    <xf numFmtId="42" fontId="49" fillId="0" borderId="0" xfId="84" applyNumberFormat="1" applyFont="1" applyBorder="1"/>
    <xf numFmtId="4" fontId="50" fillId="0" borderId="0" xfId="84" applyNumberFormat="1" applyFont="1" applyBorder="1"/>
    <xf numFmtId="42" fontId="32" fillId="0" borderId="21" xfId="84" applyNumberFormat="1" applyFont="1" applyBorder="1"/>
    <xf numFmtId="49" fontId="1" fillId="0" borderId="42" xfId="79" applyNumberFormat="1" applyFont="1" applyBorder="1" applyAlignment="1"/>
    <xf numFmtId="0" fontId="30" fillId="0" borderId="23" xfId="90" applyFont="1" applyFill="1" applyBorder="1" applyAlignment="1"/>
    <xf numFmtId="0" fontId="30" fillId="0" borderId="23" xfId="79" applyFont="1" applyBorder="1" applyAlignment="1">
      <alignment horizontal="left"/>
    </xf>
    <xf numFmtId="2" fontId="51" fillId="0" borderId="0" xfId="90" applyNumberFormat="1" applyFont="1" applyFill="1" applyBorder="1" applyAlignment="1">
      <alignment horizontal="center"/>
    </xf>
    <xf numFmtId="0" fontId="36" fillId="0" borderId="81" xfId="84" applyFont="1" applyBorder="1"/>
    <xf numFmtId="4" fontId="36" fillId="0" borderId="81" xfId="84" applyNumberFormat="1" applyFont="1" applyFill="1" applyBorder="1"/>
    <xf numFmtId="3" fontId="36" fillId="0" borderId="82" xfId="84" applyNumberFormat="1" applyFont="1" applyFill="1" applyBorder="1"/>
    <xf numFmtId="2" fontId="51" fillId="0" borderId="2" xfId="90" applyNumberFormat="1" applyFont="1" applyFill="1" applyBorder="1" applyAlignment="1">
      <alignment horizontal="center"/>
    </xf>
    <xf numFmtId="49" fontId="1" fillId="0" borderId="41" xfId="79" applyNumberFormat="1" applyFont="1" applyBorder="1" applyAlignment="1"/>
    <xf numFmtId="0" fontId="36" fillId="0" borderId="23" xfId="84" applyFont="1" applyBorder="1"/>
    <xf numFmtId="0" fontId="32" fillId="0" borderId="0" xfId="84" applyFont="1" applyBorder="1"/>
    <xf numFmtId="0" fontId="36" fillId="0" borderId="0" xfId="84" applyFont="1" applyBorder="1"/>
    <xf numFmtId="0" fontId="32" fillId="0" borderId="21" xfId="84" applyFont="1" applyBorder="1"/>
    <xf numFmtId="49" fontId="1" fillId="0" borderId="62" xfId="79" applyNumberFormat="1" applyFont="1" applyBorder="1" applyAlignment="1"/>
    <xf numFmtId="0" fontId="32" fillId="0" borderId="23" xfId="84" applyFont="1" applyBorder="1"/>
    <xf numFmtId="10" fontId="49" fillId="0" borderId="0" xfId="84" applyNumberFormat="1" applyFont="1" applyBorder="1"/>
    <xf numFmtId="10" fontId="49" fillId="0" borderId="0" xfId="109" applyNumberFormat="1" applyFont="1" applyBorder="1" applyAlignment="1">
      <alignment horizontal="center"/>
    </xf>
    <xf numFmtId="0" fontId="36" fillId="0" borderId="33" xfId="84" applyFont="1" applyBorder="1"/>
    <xf numFmtId="0" fontId="36" fillId="0" borderId="34" xfId="84" applyFont="1" applyBorder="1"/>
    <xf numFmtId="44" fontId="36" fillId="0" borderId="34" xfId="84" applyNumberFormat="1" applyFont="1" applyBorder="1"/>
    <xf numFmtId="42" fontId="36" fillId="0" borderId="35" xfId="84" applyNumberFormat="1" applyFont="1" applyBorder="1"/>
    <xf numFmtId="166" fontId="49" fillId="0" borderId="0" xfId="47" applyNumberFormat="1" applyFont="1" applyBorder="1" applyAlignment="1">
      <alignment horizontal="center"/>
    </xf>
    <xf numFmtId="44" fontId="36" fillId="0" borderId="0" xfId="84" applyNumberFormat="1" applyFont="1" applyBorder="1"/>
    <xf numFmtId="42" fontId="36" fillId="0" borderId="21" xfId="84" applyNumberFormat="1" applyFont="1" applyBorder="1"/>
    <xf numFmtId="0" fontId="6" fillId="0" borderId="0" xfId="71" applyFont="1"/>
    <xf numFmtId="166" fontId="49" fillId="0" borderId="0" xfId="47" applyNumberFormat="1" applyFont="1" applyBorder="1"/>
    <xf numFmtId="0" fontId="30" fillId="0" borderId="23" xfId="90" applyFont="1" applyBorder="1" applyAlignment="1">
      <alignment horizontal="left" vertical="top"/>
    </xf>
    <xf numFmtId="10" fontId="49" fillId="0" borderId="0" xfId="109" applyNumberFormat="1" applyFont="1" applyBorder="1" applyAlignment="1">
      <alignment horizontal="center" vertical="top"/>
    </xf>
    <xf numFmtId="168" fontId="30" fillId="0" borderId="23" xfId="79" applyNumberFormat="1" applyFont="1" applyBorder="1"/>
    <xf numFmtId="166" fontId="32" fillId="0" borderId="21" xfId="84" applyNumberFormat="1" applyFont="1" applyBorder="1" applyAlignment="1">
      <alignment horizontal="center"/>
    </xf>
    <xf numFmtId="10" fontId="51" fillId="0" borderId="2" xfId="103" applyNumberFormat="1" applyFont="1" applyFill="1" applyBorder="1" applyAlignment="1">
      <alignment horizontal="center"/>
    </xf>
    <xf numFmtId="0" fontId="30" fillId="0" borderId="2" xfId="79" applyFont="1" applyFill="1" applyBorder="1"/>
    <xf numFmtId="0" fontId="30" fillId="0" borderId="43" xfId="79" applyFont="1" applyFill="1" applyBorder="1"/>
    <xf numFmtId="0" fontId="30" fillId="0" borderId="19" xfId="79" applyFont="1" applyBorder="1"/>
    <xf numFmtId="164" fontId="51" fillId="25" borderId="20" xfId="33" applyNumberFormat="1" applyFont="1" applyFill="1" applyBorder="1"/>
    <xf numFmtId="0" fontId="3" fillId="25" borderId="59" xfId="90" applyFont="1" applyFill="1" applyBorder="1" applyAlignment="1">
      <alignment horizontal="center"/>
    </xf>
    <xf numFmtId="0" fontId="3" fillId="0" borderId="20" xfId="90" applyFont="1" applyFill="1" applyBorder="1" applyAlignment="1">
      <alignment horizontal="center"/>
    </xf>
    <xf numFmtId="0" fontId="3" fillId="0" borderId="40" xfId="90" applyFont="1" applyFill="1" applyBorder="1" applyAlignment="1">
      <alignment horizontal="center"/>
    </xf>
    <xf numFmtId="0" fontId="31" fillId="0" borderId="0" xfId="79" applyFont="1" applyBorder="1"/>
    <xf numFmtId="0" fontId="31" fillId="0" borderId="0" xfId="79" applyFont="1" applyFill="1" applyBorder="1"/>
    <xf numFmtId="44" fontId="31" fillId="0" borderId="0" xfId="79" applyNumberFormat="1" applyFont="1" applyBorder="1"/>
    <xf numFmtId="44" fontId="31" fillId="0" borderId="0" xfId="79" applyNumberFormat="1" applyFont="1" applyFill="1" applyBorder="1"/>
    <xf numFmtId="0" fontId="36" fillId="0" borderId="54" xfId="84" applyFont="1" applyBorder="1"/>
    <xf numFmtId="0" fontId="32" fillId="0" borderId="74" xfId="84" applyFont="1" applyBorder="1"/>
    <xf numFmtId="42" fontId="36" fillId="0" borderId="73" xfId="84" applyNumberFormat="1" applyFont="1" applyBorder="1"/>
    <xf numFmtId="10" fontId="50" fillId="0" borderId="0" xfId="84" applyNumberFormat="1" applyFont="1" applyFill="1" applyBorder="1"/>
    <xf numFmtId="0" fontId="32" fillId="0" borderId="0" xfId="84" applyFont="1" applyFill="1" applyBorder="1"/>
    <xf numFmtId="166" fontId="36" fillId="0" borderId="21" xfId="51" applyNumberFormat="1" applyFont="1" applyBorder="1"/>
    <xf numFmtId="0" fontId="37" fillId="0" borderId="0" xfId="79" applyFont="1" applyBorder="1"/>
    <xf numFmtId="0" fontId="37" fillId="0" borderId="0" xfId="79" applyFont="1" applyFill="1" applyBorder="1"/>
    <xf numFmtId="0" fontId="32" fillId="0" borderId="23" xfId="84" applyFont="1" applyBorder="1" applyAlignment="1">
      <alignment horizontal="right"/>
    </xf>
    <xf numFmtId="44" fontId="32" fillId="0" borderId="0" xfId="84" applyNumberFormat="1" applyFont="1" applyFill="1" applyBorder="1"/>
    <xf numFmtId="0" fontId="36" fillId="0" borderId="21" xfId="84" applyFont="1" applyBorder="1" applyAlignment="1">
      <alignment horizontal="right"/>
    </xf>
    <xf numFmtId="0" fontId="47" fillId="0" borderId="0" xfId="79" applyFont="1" applyBorder="1"/>
    <xf numFmtId="0" fontId="47" fillId="0" borderId="0" xfId="79" applyFont="1" applyFill="1" applyBorder="1"/>
    <xf numFmtId="0" fontId="36" fillId="0" borderId="19" xfId="84" applyFont="1" applyBorder="1"/>
    <xf numFmtId="10" fontId="49" fillId="0" borderId="20" xfId="84" applyNumberFormat="1" applyFont="1" applyFill="1" applyBorder="1"/>
    <xf numFmtId="166" fontId="2" fillId="0" borderId="20" xfId="51" applyNumberFormat="1" applyFont="1" applyFill="1" applyBorder="1"/>
    <xf numFmtId="44" fontId="36" fillId="0" borderId="40" xfId="51" applyNumberFormat="1" applyFont="1" applyFill="1" applyBorder="1"/>
    <xf numFmtId="166" fontId="31" fillId="0" borderId="0" xfId="51" applyNumberFormat="1" applyFont="1" applyFill="1" applyBorder="1"/>
    <xf numFmtId="44" fontId="36" fillId="26" borderId="83" xfId="51" applyNumberFormat="1" applyFont="1" applyFill="1" applyBorder="1"/>
    <xf numFmtId="166" fontId="36" fillId="0" borderId="0" xfId="84" applyNumberFormat="1" applyFont="1" applyBorder="1"/>
    <xf numFmtId="0" fontId="30" fillId="0" borderId="65" xfId="79" applyFont="1" applyBorder="1"/>
    <xf numFmtId="164" fontId="51" fillId="0" borderId="66" xfId="33" applyNumberFormat="1" applyFont="1" applyFill="1" applyBorder="1"/>
    <xf numFmtId="0" fontId="30" fillId="0" borderId="72" xfId="79" applyFont="1" applyBorder="1"/>
    <xf numFmtId="0" fontId="30" fillId="0" borderId="66" xfId="79" applyFont="1" applyFill="1" applyBorder="1"/>
    <xf numFmtId="0" fontId="30" fillId="0" borderId="84" xfId="79" applyFont="1" applyFill="1" applyBorder="1"/>
    <xf numFmtId="0" fontId="1" fillId="0" borderId="0" xfId="79" applyFont="1" applyFill="1" applyBorder="1"/>
    <xf numFmtId="44" fontId="36" fillId="0" borderId="40" xfId="51" applyFont="1" applyFill="1" applyBorder="1"/>
    <xf numFmtId="44" fontId="36" fillId="26" borderId="83" xfId="51" applyFont="1" applyFill="1" applyBorder="1"/>
    <xf numFmtId="0" fontId="1" fillId="0" borderId="0" xfId="79" applyFont="1" applyAlignment="1">
      <alignment vertical="center"/>
    </xf>
    <xf numFmtId="49" fontId="1" fillId="0" borderId="42" xfId="79" applyNumberFormat="1" applyFont="1" applyFill="1" applyBorder="1" applyAlignment="1"/>
    <xf numFmtId="49" fontId="1" fillId="0" borderId="41" xfId="79" applyNumberFormat="1" applyFont="1" applyFill="1" applyBorder="1" applyAlignment="1"/>
    <xf numFmtId="166" fontId="36" fillId="0" borderId="35" xfId="84" applyNumberFormat="1" applyFont="1" applyBorder="1"/>
    <xf numFmtId="166" fontId="36" fillId="0" borderId="21" xfId="84" applyNumberFormat="1" applyFont="1" applyBorder="1"/>
    <xf numFmtId="10" fontId="49" fillId="0" borderId="0" xfId="109" applyNumberFormat="1" applyFont="1" applyBorder="1"/>
    <xf numFmtId="42" fontId="32" fillId="0" borderId="35" xfId="84" applyNumberFormat="1" applyFont="1" applyBorder="1"/>
    <xf numFmtId="0" fontId="30" fillId="0" borderId="44" xfId="90" applyFont="1" applyBorder="1" applyAlignment="1">
      <alignment horizontal="left" vertical="top"/>
    </xf>
    <xf numFmtId="10" fontId="49" fillId="0" borderId="2" xfId="109" applyNumberFormat="1" applyFont="1" applyBorder="1" applyAlignment="1">
      <alignment vertical="top"/>
    </xf>
    <xf numFmtId="0" fontId="30" fillId="0" borderId="19" xfId="90" applyFont="1" applyBorder="1" applyAlignment="1">
      <alignment horizontal="left"/>
    </xf>
    <xf numFmtId="10" fontId="51" fillId="0" borderId="20" xfId="103" applyNumberFormat="1" applyFont="1" applyFill="1" applyBorder="1"/>
    <xf numFmtId="49" fontId="1" fillId="0" borderId="20" xfId="79" applyNumberFormat="1" applyFont="1" applyFill="1" applyBorder="1" applyAlignment="1"/>
    <xf numFmtId="49" fontId="1" fillId="0" borderId="40" xfId="79" applyNumberFormat="1" applyFont="1" applyFill="1" applyBorder="1" applyAlignment="1"/>
    <xf numFmtId="42" fontId="32" fillId="0" borderId="73" xfId="84" applyNumberFormat="1" applyFont="1" applyBorder="1"/>
    <xf numFmtId="0" fontId="31" fillId="29" borderId="70" xfId="79" applyFont="1" applyFill="1" applyBorder="1" applyAlignment="1">
      <alignment vertical="center"/>
    </xf>
    <xf numFmtId="0" fontId="31" fillId="29" borderId="85" xfId="79" applyFont="1" applyFill="1" applyBorder="1" applyAlignment="1">
      <alignment horizontal="right" vertical="center"/>
    </xf>
    <xf numFmtId="2" fontId="31" fillId="29" borderId="14" xfId="79" applyNumberFormat="1" applyFont="1" applyFill="1" applyBorder="1" applyAlignment="1">
      <alignment horizontal="right" vertical="center"/>
    </xf>
    <xf numFmtId="0" fontId="32" fillId="0" borderId="23" xfId="84" applyFont="1" applyFill="1" applyBorder="1"/>
    <xf numFmtId="0" fontId="31" fillId="25" borderId="60" xfId="79" applyFont="1" applyFill="1" applyBorder="1" applyAlignment="1">
      <alignment vertical="center"/>
    </xf>
    <xf numFmtId="3" fontId="31" fillId="25" borderId="46" xfId="79" applyNumberFormat="1" applyFont="1" applyFill="1" applyBorder="1" applyAlignment="1">
      <alignment vertical="center"/>
    </xf>
    <xf numFmtId="3" fontId="31" fillId="25" borderId="47" xfId="79" applyNumberFormat="1" applyFont="1" applyFill="1" applyBorder="1" applyAlignment="1">
      <alignment vertical="center"/>
    </xf>
    <xf numFmtId="0" fontId="32" fillId="0" borderId="23" xfId="84" applyFont="1" applyFill="1" applyBorder="1" applyAlignment="1">
      <alignment horizontal="right"/>
    </xf>
    <xf numFmtId="0" fontId="30" fillId="25" borderId="60" xfId="79" applyFont="1" applyFill="1" applyBorder="1" applyAlignment="1">
      <alignment vertical="center"/>
    </xf>
    <xf numFmtId="3" fontId="30" fillId="25" borderId="46" xfId="79" applyNumberFormat="1" applyFont="1" applyFill="1" applyBorder="1" applyAlignment="1">
      <alignment vertical="center"/>
    </xf>
    <xf numFmtId="3" fontId="30" fillId="25" borderId="63" xfId="79" applyNumberFormat="1" applyFont="1" applyFill="1" applyBorder="1" applyAlignment="1">
      <alignment vertical="center"/>
    </xf>
    <xf numFmtId="0" fontId="36" fillId="0" borderId="19" xfId="84" applyFont="1" applyFill="1" applyBorder="1"/>
    <xf numFmtId="0" fontId="30" fillId="25" borderId="23" xfId="79" applyFont="1" applyFill="1" applyBorder="1" applyAlignment="1">
      <alignment horizontal="right" vertical="center"/>
    </xf>
    <xf numFmtId="3" fontId="30" fillId="25" borderId="48" xfId="79" applyNumberFormat="1" applyFont="1" applyFill="1" applyBorder="1" applyAlignment="1">
      <alignment vertical="center"/>
    </xf>
    <xf numFmtId="3" fontId="30" fillId="25" borderId="21" xfId="79" applyNumberFormat="1" applyFont="1" applyFill="1" applyBorder="1" applyAlignment="1">
      <alignment vertical="center"/>
    </xf>
    <xf numFmtId="0" fontId="3" fillId="0" borderId="0" xfId="79" applyFont="1" applyFill="1"/>
    <xf numFmtId="44" fontId="3" fillId="26" borderId="83" xfId="79" applyNumberFormat="1" applyFont="1" applyFill="1" applyBorder="1"/>
    <xf numFmtId="0" fontId="30" fillId="25" borderId="23" xfId="79" applyFont="1" applyFill="1" applyBorder="1" applyAlignment="1">
      <alignment horizontal="right" vertical="center" wrapText="1"/>
    </xf>
    <xf numFmtId="3" fontId="30" fillId="25" borderId="21" xfId="79" applyNumberFormat="1" applyFont="1" applyFill="1" applyBorder="1" applyAlignment="1">
      <alignment vertical="center" wrapText="1"/>
    </xf>
    <xf numFmtId="0" fontId="52" fillId="25" borderId="44" xfId="79" applyFont="1" applyFill="1" applyBorder="1" applyAlignment="1">
      <alignment horizontal="right" vertical="center"/>
    </xf>
    <xf numFmtId="3" fontId="52" fillId="25" borderId="24" xfId="79" applyNumberFormat="1" applyFont="1" applyFill="1" applyBorder="1" applyAlignment="1">
      <alignment vertical="center"/>
    </xf>
    <xf numFmtId="3" fontId="52" fillId="25" borderId="43" xfId="79" applyNumberFormat="1" applyFont="1" applyFill="1" applyBorder="1" applyAlignment="1">
      <alignment vertical="center"/>
    </xf>
    <xf numFmtId="0" fontId="53" fillId="0" borderId="0" xfId="79" applyFont="1" applyFill="1"/>
    <xf numFmtId="0" fontId="53" fillId="0" borderId="0" xfId="79" applyFont="1"/>
    <xf numFmtId="0" fontId="54" fillId="25" borderId="23" xfId="79" applyFont="1" applyFill="1" applyBorder="1" applyAlignment="1">
      <alignment horizontal="left" vertical="center"/>
    </xf>
    <xf numFmtId="3" fontId="54" fillId="25" borderId="0" xfId="79" applyNumberFormat="1" applyFont="1" applyFill="1" applyBorder="1" applyAlignment="1">
      <alignment vertical="center"/>
    </xf>
    <xf numFmtId="3" fontId="54" fillId="25" borderId="21" xfId="79" applyNumberFormat="1" applyFont="1" applyFill="1" applyBorder="1" applyAlignment="1">
      <alignment vertical="center"/>
    </xf>
    <xf numFmtId="0" fontId="54" fillId="25" borderId="44" xfId="79" applyFont="1" applyFill="1" applyBorder="1" applyAlignment="1">
      <alignment vertical="center"/>
    </xf>
    <xf numFmtId="3" fontId="52" fillId="25" borderId="2" xfId="79" applyNumberFormat="1" applyFont="1" applyFill="1" applyBorder="1" applyAlignment="1">
      <alignment vertical="center"/>
    </xf>
    <xf numFmtId="0" fontId="54" fillId="25" borderId="23" xfId="79" applyFont="1" applyFill="1" applyBorder="1" applyAlignment="1">
      <alignment vertical="center"/>
    </xf>
    <xf numFmtId="4" fontId="54" fillId="25" borderId="0" xfId="33" applyNumberFormat="1" applyFont="1" applyFill="1" applyBorder="1" applyAlignment="1">
      <alignment vertical="center"/>
    </xf>
    <xf numFmtId="4" fontId="54" fillId="25" borderId="21" xfId="33" applyNumberFormat="1" applyFont="1" applyFill="1" applyBorder="1" applyAlignment="1">
      <alignment vertical="center"/>
    </xf>
    <xf numFmtId="0" fontId="54" fillId="25" borderId="16" xfId="79" applyFont="1" applyFill="1" applyBorder="1" applyAlignment="1">
      <alignment vertical="center"/>
    </xf>
    <xf numFmtId="0" fontId="54" fillId="25" borderId="17" xfId="79" applyFont="1" applyFill="1" applyBorder="1" applyAlignment="1">
      <alignment vertical="center"/>
    </xf>
    <xf numFmtId="3" fontId="54" fillId="25" borderId="18" xfId="79" applyNumberFormat="1" applyFont="1" applyFill="1" applyBorder="1" applyAlignment="1">
      <alignment vertical="center"/>
    </xf>
    <xf numFmtId="166" fontId="1" fillId="0" borderId="0" xfId="2" applyNumberFormat="1" applyFont="1"/>
    <xf numFmtId="171" fontId="49" fillId="0" borderId="0" xfId="47" applyNumberFormat="1" applyFont="1" applyBorder="1" applyAlignment="1">
      <alignment horizontal="center"/>
    </xf>
    <xf numFmtId="171" fontId="49" fillId="0" borderId="0" xfId="90" applyNumberFormat="1" applyFont="1" applyBorder="1" applyAlignment="1">
      <alignment horizontal="center"/>
    </xf>
    <xf numFmtId="10" fontId="1" fillId="0" borderId="0" xfId="3" applyNumberFormat="1" applyFont="1"/>
    <xf numFmtId="44" fontId="1" fillId="0" borderId="0" xfId="79" applyNumberFormat="1" applyFont="1"/>
    <xf numFmtId="0" fontId="55" fillId="0" borderId="23" xfId="90" applyFont="1" applyBorder="1" applyAlignment="1">
      <alignment horizontal="left" vertical="top"/>
    </xf>
    <xf numFmtId="10" fontId="55" fillId="0" borderId="0" xfId="109" applyNumberFormat="1" applyFont="1" applyBorder="1" applyAlignment="1">
      <alignment horizontal="center" vertical="top"/>
    </xf>
    <xf numFmtId="49" fontId="55" fillId="0" borderId="42" xfId="79" applyNumberFormat="1" applyFont="1" applyBorder="1" applyAlignment="1"/>
    <xf numFmtId="49" fontId="55" fillId="0" borderId="0" xfId="79" applyNumberFormat="1" applyFont="1" applyFill="1" applyBorder="1" applyAlignment="1"/>
    <xf numFmtId="10" fontId="55" fillId="0" borderId="0" xfId="109" applyNumberFormat="1" applyFont="1" applyBorder="1" applyAlignment="1">
      <alignment vertical="top"/>
    </xf>
    <xf numFmtId="44" fontId="36" fillId="0" borderId="0" xfId="51" applyFont="1" applyFill="1" applyBorder="1"/>
    <xf numFmtId="44" fontId="36" fillId="0" borderId="0" xfId="51" applyNumberFormat="1" applyFont="1" applyFill="1" applyBorder="1"/>
    <xf numFmtId="0" fontId="56" fillId="0" borderId="23" xfId="84" applyFont="1" applyBorder="1"/>
    <xf numFmtId="10" fontId="56" fillId="0" borderId="0" xfId="84" applyNumberFormat="1" applyFont="1" applyFill="1" applyBorder="1"/>
    <xf numFmtId="0" fontId="56" fillId="0" borderId="0" xfId="84" applyFont="1" applyFill="1" applyBorder="1"/>
    <xf numFmtId="0" fontId="56" fillId="0" borderId="0" xfId="84" applyFont="1" applyBorder="1"/>
    <xf numFmtId="0" fontId="56" fillId="0" borderId="23" xfId="84" applyFont="1" applyFill="1" applyBorder="1"/>
    <xf numFmtId="42" fontId="56" fillId="0" borderId="73" xfId="84" applyNumberFormat="1" applyFont="1" applyBorder="1"/>
    <xf numFmtId="166" fontId="56" fillId="0" borderId="73" xfId="51" applyNumberFormat="1" applyFont="1" applyBorder="1"/>
    <xf numFmtId="0" fontId="30" fillId="0" borderId="2" xfId="4" applyFont="1" applyFill="1" applyBorder="1"/>
    <xf numFmtId="165" fontId="55" fillId="0" borderId="23" xfId="4" applyNumberFormat="1" applyFont="1" applyFill="1" applyBorder="1"/>
    <xf numFmtId="10" fontId="55" fillId="0" borderId="0" xfId="4" applyNumberFormat="1" applyFont="1" applyFill="1" applyBorder="1" applyAlignment="1">
      <alignment horizontal="center"/>
    </xf>
    <xf numFmtId="0" fontId="55" fillId="0" borderId="41" xfId="4" applyFont="1" applyFill="1" applyBorder="1"/>
    <xf numFmtId="0" fontId="55" fillId="0" borderId="2" xfId="4" applyFont="1" applyBorder="1" applyAlignment="1">
      <alignment horizontal="center"/>
    </xf>
    <xf numFmtId="165" fontId="31" fillId="0" borderId="23" xfId="4" applyNumberFormat="1" applyFont="1" applyBorder="1"/>
    <xf numFmtId="10" fontId="31" fillId="0" borderId="0" xfId="3" applyNumberFormat="1" applyFont="1" applyBorder="1" applyAlignment="1">
      <alignment horizontal="center"/>
    </xf>
    <xf numFmtId="165" fontId="56" fillId="0" borderId="23" xfId="4" applyNumberFormat="1" applyFont="1" applyBorder="1"/>
    <xf numFmtId="10" fontId="56" fillId="0" borderId="0" xfId="3" applyNumberFormat="1" applyFont="1" applyBorder="1" applyAlignment="1">
      <alignment horizontal="center"/>
    </xf>
    <xf numFmtId="2" fontId="56" fillId="0" borderId="0" xfId="4" applyNumberFormat="1" applyFont="1" applyBorder="1" applyAlignment="1">
      <alignment horizontal="center"/>
    </xf>
    <xf numFmtId="165" fontId="56" fillId="0" borderId="21" xfId="4" applyNumberFormat="1" applyFont="1" applyBorder="1"/>
    <xf numFmtId="10" fontId="53" fillId="0" borderId="0" xfId="79" applyNumberFormat="1" applyFont="1"/>
    <xf numFmtId="0" fontId="53" fillId="0" borderId="0" xfId="79" applyFont="1" applyAlignment="1">
      <alignment horizontal="center"/>
    </xf>
    <xf numFmtId="5" fontId="53" fillId="0" borderId="0" xfId="2" applyNumberFormat="1" applyFont="1" applyAlignment="1">
      <alignment horizontal="center"/>
    </xf>
    <xf numFmtId="5" fontId="53" fillId="0" borderId="0" xfId="2" applyNumberFormat="1" applyFont="1"/>
    <xf numFmtId="0" fontId="0" fillId="0" borderId="0" xfId="79" applyFont="1"/>
    <xf numFmtId="172" fontId="1" fillId="0" borderId="0" xfId="79" applyNumberFormat="1" applyFont="1"/>
    <xf numFmtId="173" fontId="1" fillId="0" borderId="0" xfId="79" applyNumberFormat="1" applyFont="1"/>
    <xf numFmtId="0" fontId="60" fillId="30" borderId="13" xfId="71" applyFont="1" applyFill="1" applyBorder="1"/>
    <xf numFmtId="0" fontId="61" fillId="30" borderId="14" xfId="71" applyFont="1" applyFill="1" applyBorder="1"/>
    <xf numFmtId="0" fontId="6" fillId="0" borderId="0" xfId="71"/>
    <xf numFmtId="0" fontId="61" fillId="30" borderId="0" xfId="71" applyFont="1" applyFill="1" applyBorder="1"/>
    <xf numFmtId="0" fontId="62" fillId="30" borderId="21" xfId="71" applyFont="1" applyFill="1" applyBorder="1"/>
    <xf numFmtId="0" fontId="63" fillId="30" borderId="20" xfId="71" applyFont="1" applyFill="1" applyBorder="1"/>
    <xf numFmtId="0" fontId="62" fillId="30" borderId="40" xfId="71" applyFont="1" applyFill="1" applyBorder="1"/>
    <xf numFmtId="0" fontId="62" fillId="0" borderId="0" xfId="71" applyFont="1"/>
    <xf numFmtId="0" fontId="64" fillId="31" borderId="0" xfId="92" applyFont="1" applyFill="1"/>
    <xf numFmtId="0" fontId="64" fillId="32" borderId="0" xfId="92" applyFont="1" applyFill="1"/>
    <xf numFmtId="0" fontId="64" fillId="33" borderId="0" xfId="92" applyFont="1" applyFill="1"/>
    <xf numFmtId="0" fontId="64" fillId="34" borderId="0" xfId="92" applyFont="1" applyFill="1"/>
    <xf numFmtId="0" fontId="64" fillId="35" borderId="0" xfId="92" applyFont="1" applyFill="1"/>
    <xf numFmtId="14" fontId="62" fillId="0" borderId="0" xfId="71" applyNumberFormat="1" applyFont="1"/>
    <xf numFmtId="174" fontId="6" fillId="0" borderId="0" xfId="71" applyNumberFormat="1"/>
    <xf numFmtId="0" fontId="62" fillId="0" borderId="0" xfId="87" applyFont="1"/>
    <xf numFmtId="0" fontId="6" fillId="0" borderId="0" xfId="87"/>
    <xf numFmtId="0" fontId="65" fillId="0" borderId="0" xfId="87" applyFont="1"/>
    <xf numFmtId="0" fontId="66" fillId="0" borderId="0" xfId="87" applyFont="1"/>
    <xf numFmtId="0" fontId="6" fillId="0" borderId="62" xfId="87" applyBorder="1"/>
    <xf numFmtId="0" fontId="6" fillId="0" borderId="61" xfId="87" applyBorder="1"/>
    <xf numFmtId="0" fontId="6" fillId="0" borderId="75" xfId="87" applyBorder="1"/>
    <xf numFmtId="0" fontId="6" fillId="0" borderId="42" xfId="87" applyBorder="1"/>
    <xf numFmtId="0" fontId="6" fillId="0" borderId="0" xfId="87" applyBorder="1" applyAlignment="1">
      <alignment horizontal="right"/>
    </xf>
    <xf numFmtId="0" fontId="6" fillId="0" borderId="0" xfId="87" applyBorder="1"/>
    <xf numFmtId="0" fontId="6" fillId="0" borderId="69" xfId="87" applyBorder="1"/>
    <xf numFmtId="0" fontId="67" fillId="0" borderId="69" xfId="87" applyFont="1" applyBorder="1" applyAlignment="1">
      <alignment horizontal="center"/>
    </xf>
    <xf numFmtId="174" fontId="6" fillId="0" borderId="0" xfId="71" applyNumberFormat="1" applyAlignment="1">
      <alignment horizontal="left"/>
    </xf>
    <xf numFmtId="174" fontId="6" fillId="0" borderId="69" xfId="87" applyNumberFormat="1" applyBorder="1" applyAlignment="1">
      <alignment horizontal="center"/>
    </xf>
    <xf numFmtId="0" fontId="6" fillId="0" borderId="69" xfId="87" applyBorder="1" applyAlignment="1">
      <alignment horizontal="center"/>
    </xf>
    <xf numFmtId="14" fontId="62" fillId="0" borderId="0" xfId="71" applyNumberFormat="1" applyFont="1" applyAlignment="1">
      <alignment horizontal="right"/>
    </xf>
    <xf numFmtId="0" fontId="62" fillId="26" borderId="0" xfId="87" applyFont="1" applyFill="1" applyBorder="1" applyAlignment="1">
      <alignment horizontal="right"/>
    </xf>
    <xf numFmtId="10" fontId="62" fillId="26" borderId="69" xfId="101" applyNumberFormat="1" applyFont="1" applyFill="1" applyBorder="1" applyAlignment="1">
      <alignment horizontal="center"/>
    </xf>
    <xf numFmtId="0" fontId="6" fillId="0" borderId="41" xfId="87" applyBorder="1"/>
    <xf numFmtId="0" fontId="6" fillId="0" borderId="2" xfId="87" applyBorder="1"/>
    <xf numFmtId="0" fontId="6" fillId="0" borderId="64" xfId="87" applyBorder="1"/>
    <xf numFmtId="2" fontId="0" fillId="0" borderId="0" xfId="0" applyNumberFormat="1" applyFill="1" applyBorder="1"/>
    <xf numFmtId="2" fontId="30" fillId="0" borderId="0" xfId="4" applyNumberFormat="1" applyFont="1" applyBorder="1"/>
    <xf numFmtId="2" fontId="30" fillId="0" borderId="0" xfId="4" applyNumberFormat="1" applyFont="1"/>
    <xf numFmtId="167" fontId="30" fillId="0" borderId="0" xfId="4" applyNumberFormat="1" applyFont="1" applyBorder="1"/>
    <xf numFmtId="165" fontId="30" fillId="0" borderId="43" xfId="4" applyNumberFormat="1" applyFont="1" applyFill="1" applyBorder="1"/>
    <xf numFmtId="167" fontId="3" fillId="0" borderId="0" xfId="0" applyNumberFormat="1" applyFont="1" applyFill="1" applyBorder="1"/>
    <xf numFmtId="168" fontId="30" fillId="0" borderId="0" xfId="4" applyNumberFormat="1" applyFont="1" applyFill="1" applyBorder="1"/>
    <xf numFmtId="167" fontId="30" fillId="0" borderId="27" xfId="4" applyNumberFormat="1" applyFont="1" applyFill="1" applyBorder="1" applyAlignment="1">
      <alignment horizontal="center"/>
    </xf>
    <xf numFmtId="167" fontId="30" fillId="0" borderId="39" xfId="4" applyNumberFormat="1" applyFont="1" applyFill="1" applyBorder="1" applyAlignment="1">
      <alignment horizontal="center"/>
    </xf>
    <xf numFmtId="0" fontId="30" fillId="0" borderId="36" xfId="4" applyFont="1" applyFill="1" applyBorder="1" applyAlignment="1">
      <alignment horizontal="center"/>
    </xf>
    <xf numFmtId="167" fontId="30" fillId="0" borderId="37" xfId="4" applyNumberFormat="1" applyFont="1" applyFill="1" applyBorder="1" applyAlignment="1">
      <alignment horizontal="center"/>
    </xf>
    <xf numFmtId="167" fontId="30" fillId="0" borderId="38" xfId="4" applyNumberFormat="1" applyFont="1" applyFill="1" applyBorder="1" applyAlignment="1">
      <alignment horizontal="center"/>
    </xf>
    <xf numFmtId="42" fontId="49" fillId="0" borderId="2" xfId="90" applyNumberFormat="1" applyFont="1" applyFill="1" applyBorder="1"/>
    <xf numFmtId="42" fontId="49" fillId="0" borderId="0" xfId="90" applyNumberFormat="1" applyFont="1" applyFill="1" applyBorder="1"/>
    <xf numFmtId="0" fontId="53" fillId="0" borderId="0" xfId="79" applyFont="1" applyFill="1" applyBorder="1"/>
    <xf numFmtId="0" fontId="53" fillId="0" borderId="0" xfId="79" applyFont="1" applyFill="1" applyBorder="1" applyAlignment="1">
      <alignment horizontal="center"/>
    </xf>
    <xf numFmtId="3" fontId="53" fillId="0" borderId="0" xfId="79" applyNumberFormat="1" applyFont="1" applyFill="1" applyBorder="1" applyAlignment="1">
      <alignment horizontal="center"/>
    </xf>
    <xf numFmtId="171" fontId="53" fillId="0" borderId="0" xfId="79" applyNumberFormat="1" applyFont="1" applyFill="1" applyBorder="1"/>
    <xf numFmtId="166" fontId="53" fillId="0" borderId="0" xfId="79" applyNumberFormat="1" applyFont="1" applyFill="1" applyBorder="1"/>
    <xf numFmtId="0" fontId="58" fillId="0" borderId="0" xfId="0" applyFont="1" applyFill="1" applyBorder="1" applyAlignment="1">
      <alignment horizontal="left"/>
    </xf>
    <xf numFmtId="44" fontId="58" fillId="0" borderId="0" xfId="0" applyNumberFormat="1" applyFont="1" applyFill="1" applyBorder="1"/>
    <xf numFmtId="0" fontId="59" fillId="0" borderId="0" xfId="0" applyFont="1" applyFill="1" applyBorder="1"/>
    <xf numFmtId="44" fontId="59" fillId="0" borderId="0" xfId="0" applyNumberFormat="1" applyFont="1" applyFill="1" applyBorder="1"/>
    <xf numFmtId="2" fontId="31" fillId="0" borderId="31" xfId="4" applyNumberFormat="1" applyFont="1" applyFill="1" applyBorder="1" applyAlignment="1">
      <alignment horizontal="center"/>
    </xf>
    <xf numFmtId="169" fontId="31" fillId="0" borderId="21" xfId="4" applyNumberFormat="1" applyFont="1" applyBorder="1"/>
    <xf numFmtId="0" fontId="30" fillId="0" borderId="21" xfId="4" applyFont="1" applyFill="1" applyBorder="1"/>
    <xf numFmtId="0" fontId="5" fillId="0" borderId="23" xfId="0" applyFont="1" applyFill="1" applyBorder="1"/>
    <xf numFmtId="165" fontId="30" fillId="0" borderId="21" xfId="4" applyNumberFormat="1" applyFont="1" applyFill="1" applyBorder="1"/>
    <xf numFmtId="0" fontId="30" fillId="0" borderId="0" xfId="4" applyFont="1" applyFill="1"/>
    <xf numFmtId="0" fontId="31" fillId="0" borderId="0" xfId="4" applyFont="1" applyFill="1" applyAlignment="1">
      <alignment horizontal="center"/>
    </xf>
    <xf numFmtId="0" fontId="31" fillId="0" borderId="12" xfId="4" applyFont="1" applyFill="1" applyBorder="1" applyAlignment="1">
      <alignment horizontal="center" vertical="center"/>
    </xf>
    <xf numFmtId="0" fontId="31" fillId="0" borderId="13" xfId="4" applyFont="1" applyFill="1" applyBorder="1" applyAlignment="1">
      <alignment horizontal="center" vertical="center"/>
    </xf>
    <xf numFmtId="0" fontId="31" fillId="0" borderId="14" xfId="4" applyFont="1" applyFill="1" applyBorder="1" applyAlignment="1">
      <alignment horizontal="center" vertical="center"/>
    </xf>
    <xf numFmtId="0" fontId="31" fillId="0" borderId="19" xfId="4" applyFont="1" applyFill="1" applyBorder="1" applyAlignment="1">
      <alignment horizontal="center" vertical="center"/>
    </xf>
    <xf numFmtId="0" fontId="31" fillId="0" borderId="20" xfId="4" applyFont="1" applyFill="1" applyBorder="1" applyAlignment="1">
      <alignment horizontal="center" vertical="center"/>
    </xf>
    <xf numFmtId="0" fontId="31" fillId="0" borderId="40" xfId="4" applyFont="1" applyFill="1" applyBorder="1" applyAlignment="1">
      <alignment horizontal="center" vertical="center"/>
    </xf>
    <xf numFmtId="165" fontId="31" fillId="24" borderId="16" xfId="4" applyNumberFormat="1" applyFont="1" applyFill="1" applyBorder="1" applyAlignment="1">
      <alignment horizontal="center" vertical="center"/>
    </xf>
    <xf numFmtId="165" fontId="31" fillId="24" borderId="17" xfId="4" applyNumberFormat="1" applyFont="1" applyFill="1" applyBorder="1" applyAlignment="1">
      <alignment horizontal="center" vertical="center"/>
    </xf>
    <xf numFmtId="165" fontId="31" fillId="24" borderId="18" xfId="4" applyNumberFormat="1" applyFont="1" applyFill="1" applyBorder="1" applyAlignment="1">
      <alignment horizontal="center" vertical="center"/>
    </xf>
    <xf numFmtId="165" fontId="31" fillId="0" borderId="0" xfId="4" applyNumberFormat="1" applyFont="1" applyFill="1" applyBorder="1" applyAlignment="1">
      <alignment horizontal="center" vertical="center"/>
    </xf>
    <xf numFmtId="165" fontId="31" fillId="0" borderId="60" xfId="4" applyNumberFormat="1" applyFont="1" applyFill="1" applyBorder="1" applyAlignment="1">
      <alignment horizontal="center"/>
    </xf>
    <xf numFmtId="165" fontId="31" fillId="0" borderId="61" xfId="4" applyNumberFormat="1" applyFont="1" applyFill="1" applyBorder="1" applyAlignment="1">
      <alignment horizontal="center"/>
    </xf>
    <xf numFmtId="0" fontId="31" fillId="0" borderId="15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/>
    </xf>
    <xf numFmtId="0" fontId="31" fillId="0" borderId="22" xfId="4" applyFont="1" applyBorder="1" applyAlignment="1">
      <alignment horizontal="center" vertical="center"/>
    </xf>
    <xf numFmtId="0" fontId="31" fillId="0" borderId="12" xfId="4" applyFont="1" applyBorder="1" applyAlignment="1">
      <alignment horizontal="center" vertical="center" wrapText="1"/>
    </xf>
    <xf numFmtId="0" fontId="31" fillId="0" borderId="23" xfId="4" applyFont="1" applyBorder="1" applyAlignment="1">
      <alignment horizontal="center" vertical="center" wrapText="1"/>
    </xf>
    <xf numFmtId="0" fontId="31" fillId="0" borderId="19" xfId="4" applyFont="1" applyBorder="1" applyAlignment="1">
      <alignment horizontal="center" vertical="center" wrapText="1"/>
    </xf>
    <xf numFmtId="0" fontId="31" fillId="25" borderId="15" xfId="4" applyFont="1" applyFill="1" applyBorder="1" applyAlignment="1">
      <alignment horizontal="center" wrapText="1"/>
    </xf>
    <xf numFmtId="0" fontId="31" fillId="25" borderId="25" xfId="4" applyFont="1" applyFill="1" applyBorder="1" applyAlignment="1">
      <alignment horizontal="center" wrapText="1"/>
    </xf>
    <xf numFmtId="0" fontId="31" fillId="25" borderId="22" xfId="4" applyFont="1" applyFill="1" applyBorder="1" applyAlignment="1">
      <alignment horizontal="center" wrapText="1"/>
    </xf>
    <xf numFmtId="0" fontId="31" fillId="0" borderId="15" xfId="4" applyFont="1" applyFill="1" applyBorder="1" applyAlignment="1">
      <alignment horizontal="center" vertical="center" wrapText="1"/>
    </xf>
    <xf numFmtId="0" fontId="31" fillId="0" borderId="25" xfId="4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19" xfId="4" applyFont="1" applyBorder="1" applyAlignment="1">
      <alignment horizontal="center"/>
    </xf>
    <xf numFmtId="0" fontId="31" fillId="0" borderId="40" xfId="4" applyFont="1" applyBorder="1" applyAlignment="1">
      <alignment horizontal="center"/>
    </xf>
    <xf numFmtId="0" fontId="31" fillId="0" borderId="16" xfId="4" applyFont="1" applyBorder="1" applyAlignment="1">
      <alignment horizontal="center"/>
    </xf>
    <xf numFmtId="0" fontId="31" fillId="0" borderId="17" xfId="4" applyFont="1" applyBorder="1" applyAlignment="1">
      <alignment horizontal="center"/>
    </xf>
    <xf numFmtId="0" fontId="31" fillId="0" borderId="18" xfId="4" applyFont="1" applyBorder="1" applyAlignment="1">
      <alignment horizontal="center"/>
    </xf>
    <xf numFmtId="165" fontId="31" fillId="0" borderId="57" xfId="4" applyNumberFormat="1" applyFont="1" applyFill="1" applyBorder="1" applyAlignment="1">
      <alignment horizontal="right" vertical="center"/>
    </xf>
    <xf numFmtId="165" fontId="31" fillId="0" borderId="58" xfId="4" applyNumberFormat="1" applyFont="1" applyFill="1" applyBorder="1" applyAlignment="1">
      <alignment horizontal="right" vertical="center"/>
    </xf>
    <xf numFmtId="0" fontId="57" fillId="0" borderId="0" xfId="79" applyFont="1" applyFill="1" applyBorder="1" applyAlignment="1">
      <alignment horizontal="center"/>
    </xf>
    <xf numFmtId="0" fontId="31" fillId="0" borderId="60" xfId="79" applyFont="1" applyBorder="1" applyAlignment="1">
      <alignment horizontal="center"/>
    </xf>
    <xf numFmtId="0" fontId="31" fillId="0" borderId="61" xfId="79" applyFont="1" applyBorder="1" applyAlignment="1">
      <alignment horizontal="center"/>
    </xf>
    <xf numFmtId="165" fontId="2" fillId="28" borderId="16" xfId="90" applyNumberFormat="1" applyFont="1" applyFill="1" applyBorder="1" applyAlignment="1">
      <alignment horizontal="center" vertical="center"/>
    </xf>
    <xf numFmtId="165" fontId="2" fillId="28" borderId="17" xfId="90" applyNumberFormat="1" applyFont="1" applyFill="1" applyBorder="1" applyAlignment="1">
      <alignment horizontal="center" vertical="center"/>
    </xf>
    <xf numFmtId="165" fontId="2" fillId="28" borderId="18" xfId="90" applyNumberFormat="1" applyFont="1" applyFill="1" applyBorder="1" applyAlignment="1">
      <alignment horizontal="center" vertical="center"/>
    </xf>
    <xf numFmtId="0" fontId="2" fillId="28" borderId="16" xfId="84" applyFont="1" applyFill="1" applyBorder="1" applyAlignment="1">
      <alignment horizontal="center" vertical="center" wrapText="1"/>
    </xf>
    <xf numFmtId="0" fontId="2" fillId="28" borderId="17" xfId="84" applyFont="1" applyFill="1" applyBorder="1" applyAlignment="1">
      <alignment horizontal="center" vertical="center" wrapText="1"/>
    </xf>
    <xf numFmtId="0" fontId="2" fillId="28" borderId="18" xfId="84" applyFont="1" applyFill="1" applyBorder="1" applyAlignment="1">
      <alignment horizontal="center" vertical="center" wrapText="1"/>
    </xf>
    <xf numFmtId="165" fontId="48" fillId="0" borderId="77" xfId="90" applyNumberFormat="1" applyFont="1" applyBorder="1" applyAlignment="1">
      <alignment horizontal="center"/>
    </xf>
    <xf numFmtId="165" fontId="48" fillId="0" borderId="78" xfId="90" applyNumberFormat="1" applyFont="1" applyBorder="1" applyAlignment="1">
      <alignment horizontal="center"/>
    </xf>
    <xf numFmtId="0" fontId="3" fillId="25" borderId="77" xfId="90" applyFont="1" applyFill="1" applyBorder="1" applyAlignment="1">
      <alignment horizontal="center"/>
    </xf>
    <xf numFmtId="0" fontId="3" fillId="25" borderId="79" xfId="90" applyFont="1" applyFill="1" applyBorder="1" applyAlignment="1">
      <alignment horizontal="center"/>
    </xf>
    <xf numFmtId="0" fontId="3" fillId="25" borderId="80" xfId="90" applyFont="1" applyFill="1" applyBorder="1" applyAlignment="1">
      <alignment horizontal="center"/>
    </xf>
    <xf numFmtId="0" fontId="31" fillId="0" borderId="75" xfId="79" applyFont="1" applyBorder="1" applyAlignment="1">
      <alignment horizontal="center"/>
    </xf>
    <xf numFmtId="0" fontId="2" fillId="28" borderId="16" xfId="84" applyFont="1" applyFill="1" applyBorder="1" applyAlignment="1">
      <alignment horizontal="center" vertical="center"/>
    </xf>
    <xf numFmtId="0" fontId="2" fillId="28" borderId="17" xfId="84" applyFont="1" applyFill="1" applyBorder="1" applyAlignment="1">
      <alignment horizontal="center" vertical="center"/>
    </xf>
    <xf numFmtId="0" fontId="2" fillId="28" borderId="18" xfId="84" applyFont="1" applyFill="1" applyBorder="1" applyAlignment="1">
      <alignment horizontal="center" vertical="center"/>
    </xf>
    <xf numFmtId="165" fontId="48" fillId="0" borderId="70" xfId="90" applyNumberFormat="1" applyFont="1" applyBorder="1" applyAlignment="1">
      <alignment horizontal="center"/>
    </xf>
    <xf numFmtId="165" fontId="48" fillId="0" borderId="79" xfId="90" applyNumberFormat="1" applyFont="1" applyBorder="1" applyAlignment="1">
      <alignment horizontal="center"/>
    </xf>
    <xf numFmtId="0" fontId="3" fillId="25" borderId="76" xfId="9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7" xfId="0" applyFill="1" applyBorder="1" applyAlignment="1">
      <alignment horizontal="left"/>
    </xf>
    <xf numFmtId="0" fontId="0" fillId="0" borderId="68" xfId="0" applyFill="1" applyBorder="1" applyAlignment="1">
      <alignment horizontal="left"/>
    </xf>
    <xf numFmtId="0" fontId="31" fillId="0" borderId="12" xfId="4" applyFont="1" applyBorder="1" applyAlignment="1">
      <alignment horizontal="center" vertical="center"/>
    </xf>
    <xf numFmtId="0" fontId="31" fillId="0" borderId="13" xfId="4" applyFont="1" applyBorder="1" applyAlignment="1">
      <alignment horizontal="center" vertical="center"/>
    </xf>
    <xf numFmtId="0" fontId="31" fillId="0" borderId="14" xfId="4" applyFont="1" applyBorder="1" applyAlignment="1">
      <alignment horizontal="center" vertical="center"/>
    </xf>
    <xf numFmtId="0" fontId="31" fillId="0" borderId="19" xfId="4" applyFont="1" applyBorder="1" applyAlignment="1">
      <alignment horizontal="center" vertical="center"/>
    </xf>
    <xf numFmtId="0" fontId="31" fillId="0" borderId="20" xfId="4" applyFont="1" applyBorder="1" applyAlignment="1">
      <alignment horizontal="center" vertical="center"/>
    </xf>
    <xf numFmtId="0" fontId="31" fillId="0" borderId="21" xfId="4" applyFont="1" applyBorder="1" applyAlignment="1">
      <alignment horizontal="center" vertical="center"/>
    </xf>
    <xf numFmtId="0" fontId="31" fillId="24" borderId="15" xfId="4" applyFont="1" applyFill="1" applyBorder="1" applyAlignment="1">
      <alignment horizontal="center" vertical="center" wrapText="1"/>
    </xf>
    <xf numFmtId="0" fontId="31" fillId="24" borderId="22" xfId="4" applyFont="1" applyFill="1" applyBorder="1" applyAlignment="1">
      <alignment horizontal="center" vertical="center" wrapText="1"/>
    </xf>
    <xf numFmtId="0" fontId="31" fillId="24" borderId="12" xfId="4" applyFont="1" applyFill="1" applyBorder="1" applyAlignment="1">
      <alignment horizontal="center" vertical="center" wrapText="1"/>
    </xf>
    <xf numFmtId="0" fontId="31" fillId="24" borderId="23" xfId="4" applyFont="1" applyFill="1" applyBorder="1" applyAlignment="1">
      <alignment horizontal="center" vertical="center" wrapText="1"/>
    </xf>
    <xf numFmtId="0" fontId="31" fillId="24" borderId="19" xfId="4" applyFont="1" applyFill="1" applyBorder="1" applyAlignment="1">
      <alignment horizontal="center" vertical="center" wrapText="1"/>
    </xf>
    <xf numFmtId="0" fontId="31" fillId="25" borderId="25" xfId="4" applyFont="1" applyFill="1" applyBorder="1" applyAlignment="1">
      <alignment horizontal="center" vertical="center" wrapText="1"/>
    </xf>
    <xf numFmtId="0" fontId="31" fillId="25" borderId="22" xfId="4" applyFont="1" applyFill="1" applyBorder="1" applyAlignment="1">
      <alignment horizontal="center" vertical="center" wrapText="1"/>
    </xf>
  </cellXfs>
  <cellStyles count="118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1" builtinId="3"/>
    <cellStyle name="Comma 2" xfId="32"/>
    <cellStyle name="Comma 2 2" xfId="33"/>
    <cellStyle name="Comma 3" xfId="34"/>
    <cellStyle name="Comma 3 2" xfId="35"/>
    <cellStyle name="Comma 3 3" xfId="36"/>
    <cellStyle name="Comma 4" xfId="37"/>
    <cellStyle name="Comma 4 2" xfId="38"/>
    <cellStyle name="Comma 5" xfId="39"/>
    <cellStyle name="Comma 6" xfId="40"/>
    <cellStyle name="Comma 6 2" xfId="41"/>
    <cellStyle name="Comma 7" xfId="42"/>
    <cellStyle name="Comma 8" xfId="43"/>
    <cellStyle name="Currency" xfId="2" builtinId="4"/>
    <cellStyle name="Currency 2" xfId="44"/>
    <cellStyle name="Currency 2 2" xfId="45"/>
    <cellStyle name="Currency 2 3" xfId="46"/>
    <cellStyle name="Currency 2 4" xfId="47"/>
    <cellStyle name="Currency 3" xfId="48"/>
    <cellStyle name="Currency 3 2" xfId="49"/>
    <cellStyle name="Currency 3 3" xfId="50"/>
    <cellStyle name="Currency 4" xfId="51"/>
    <cellStyle name="Currency 4 2" xfId="52"/>
    <cellStyle name="Currency 4 2 2" xfId="53"/>
    <cellStyle name="Currency 4 3" xfId="54"/>
    <cellStyle name="Currency 4 4" xfId="55"/>
    <cellStyle name="Currency 5" xfId="56"/>
    <cellStyle name="Currency 5 2" xfId="57"/>
    <cellStyle name="Currency 5 3" xfId="58"/>
    <cellStyle name="Currency 6" xfId="59"/>
    <cellStyle name="Currency 7" xfId="60"/>
    <cellStyle name="Currency 8" xfId="61"/>
    <cellStyle name="Explanatory Text 2" xfId="62"/>
    <cellStyle name="Good 2" xfId="63"/>
    <cellStyle name="Heading 1 2" xfId="64"/>
    <cellStyle name="Heading 2 2" xfId="65"/>
    <cellStyle name="Heading 3 2" xfId="66"/>
    <cellStyle name="Heading 4 2" xfId="67"/>
    <cellStyle name="Input 2" xfId="68"/>
    <cellStyle name="Linked Cell 2" xfId="69"/>
    <cellStyle name="Neutral 2" xfId="70"/>
    <cellStyle name="Normal" xfId="0" builtinId="0"/>
    <cellStyle name="Normal 10" xfId="71"/>
    <cellStyle name="Normal 11" xfId="72"/>
    <cellStyle name="Normal 12" xfId="73"/>
    <cellStyle name="Normal 13" xfId="74"/>
    <cellStyle name="Normal 14" xfId="75"/>
    <cellStyle name="Normal 2" xfId="76"/>
    <cellStyle name="Normal 2 2" xfId="77"/>
    <cellStyle name="Normal 2 2 2" xfId="4"/>
    <cellStyle name="Normal 2 3" xfId="78"/>
    <cellStyle name="Normal 2 4" xfId="79"/>
    <cellStyle name="Normal 3" xfId="80"/>
    <cellStyle name="Normal 3 2" xfId="81"/>
    <cellStyle name="Normal 3 3" xfId="82"/>
    <cellStyle name="Normal 3 4" xfId="83"/>
    <cellStyle name="Normal 3 5" xfId="84"/>
    <cellStyle name="Normal 4" xfId="85"/>
    <cellStyle name="Normal 4 2" xfId="86"/>
    <cellStyle name="Normal 4 2 2" xfId="87"/>
    <cellStyle name="Normal 4 3" xfId="88"/>
    <cellStyle name="Normal 5" xfId="89"/>
    <cellStyle name="Normal 6" xfId="90"/>
    <cellStyle name="Normal 6 2" xfId="91"/>
    <cellStyle name="Normal 6 2 2" xfId="92"/>
    <cellStyle name="Normal 6 3" xfId="93"/>
    <cellStyle name="Normal 7" xfId="94"/>
    <cellStyle name="Normal 7 2" xfId="95"/>
    <cellStyle name="Normal 8" xfId="96"/>
    <cellStyle name="Normal 9" xfId="97"/>
    <cellStyle name="Normal_Sheet1_1" xfId="98"/>
    <cellStyle name="Note 2" xfId="99"/>
    <cellStyle name="Output 2" xfId="100"/>
    <cellStyle name="Percent" xfId="3" builtinId="5"/>
    <cellStyle name="Percent 2" xfId="101"/>
    <cellStyle name="Percent 2 2" xfId="102"/>
    <cellStyle name="Percent 3" xfId="103"/>
    <cellStyle name="Percent 3 2" xfId="104"/>
    <cellStyle name="Percent 4" xfId="105"/>
    <cellStyle name="Percent 4 2" xfId="106"/>
    <cellStyle name="Percent 5" xfId="107"/>
    <cellStyle name="Percent 5 2" xfId="108"/>
    <cellStyle name="Percent 6" xfId="109"/>
    <cellStyle name="Percent 6 2" xfId="110"/>
    <cellStyle name="Percent 6 3" xfId="111"/>
    <cellStyle name="Percent 7" xfId="112"/>
    <cellStyle name="Percent 8" xfId="113"/>
    <cellStyle name="Percent 9" xfId="114"/>
    <cellStyle name="Title 2" xfId="115"/>
    <cellStyle name="Total 2" xfId="116"/>
    <cellStyle name="Warning Text 2" xfId="1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69</xdr:col>
      <xdr:colOff>251460</xdr:colOff>
      <xdr:row>16</xdr:row>
      <xdr:rowOff>152400</xdr:rowOff>
    </xdr:from>
    <xdr:ext cx="4541520" cy="1642373"/>
    <xdr:sp macro="" textlink="">
      <xdr:nvSpPr>
        <xdr:cNvPr id="2" name="TextBox 1"/>
        <xdr:cNvSpPr txBox="1"/>
      </xdr:nvSpPr>
      <xdr:spPr>
        <a:xfrm>
          <a:off x="39707820" y="2933700"/>
          <a:ext cx="4541520" cy="1642373"/>
        </a:xfrm>
        <a:prstGeom prst="rect">
          <a:avLst/>
        </a:prstGeom>
        <a:noFill/>
        <a:ln cmpd="sng">
          <a:solidFill>
            <a:schemeClr val="tx1">
              <a:alpha val="72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Current</a:t>
          </a:r>
          <a:r>
            <a:rPr lang="en-US" sz="1100" baseline="0"/>
            <a:t> rate runs from 1/1/18 - 12/31/19</a:t>
          </a:r>
        </a:p>
        <a:p>
          <a:r>
            <a:rPr lang="en-US" sz="1100" baseline="0"/>
            <a:t>By pushing rate review back to 7/1/19 to align with a Fiscal Year:</a:t>
          </a:r>
        </a:p>
        <a:p>
          <a:endParaRPr lang="en-US" sz="1100" baseline="0"/>
        </a:p>
        <a:p>
          <a:r>
            <a:rPr lang="en-US" sz="1100" baseline="0"/>
            <a:t>CAF Base period = last effective quarter of most recent rate review - this is </a:t>
          </a:r>
        </a:p>
        <a:p>
          <a:r>
            <a:rPr lang="en-US" sz="1100" baseline="0"/>
            <a:t>either CY2019Q4 or FY2020Q2</a:t>
          </a:r>
        </a:p>
        <a:p>
          <a:endParaRPr lang="en-US" sz="1100" baseline="0"/>
        </a:p>
        <a:p>
          <a:r>
            <a:rPr lang="en-US" sz="1100" baseline="0"/>
            <a:t>CAF Projection period = two years rate is effective - this is FY20 &amp; FY21 </a:t>
          </a:r>
        </a:p>
        <a:p>
          <a:r>
            <a:rPr lang="en-US" sz="1100" baseline="0"/>
            <a:t>aka: CY2019Q3 - CY2021Q2 or FY2020Q1 - FY2021Q4</a:t>
          </a:r>
        </a:p>
        <a:p>
          <a:r>
            <a:rPr lang="en-US" sz="1100" baseline="0"/>
            <a:t>				-kara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lattimore/AppData/Local/Microsoft/Windows/Temporary%20Internet%20Files/Content.Outlook/Y2K7L5ZK/FY19%20Models%208.22.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Administrative%20Services-POS%20Policy%20Office\Rate%20Setting\Rate%20Projects\CBDS%20-%20Adult%20Community%20Based%20Supports_\2019%20Rate%20Review\1.%20Strategy%20Team%20Materials\CBDS%20FY18%20Model%20Updates%202-28-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BDS%20Model%20Budgets%20-%20Upd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Administrative%20Services-POS%20Policy%20Office\Rate%20Setting\Rate%20Projects\CBDS%20-%20Adult%20Community%20Based%20Supports_\2.%202018%20Rate%20Review\5.%20Final%20Rate%20Documents\FOIA%20CBDS%20Jan%202018%20Mode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Review"/>
      <sheetName val="FY17 Expenses"/>
      <sheetName val="Post LS.Clinician Added"/>
      <sheetName val="3777ModelBudgets"/>
      <sheetName val="Consolidated FI (2)"/>
      <sheetName val="AdditionalMCB Spend"/>
      <sheetName val="Analysis"/>
      <sheetName val="T &amp; F,M &amp; G"/>
      <sheetName val="PivotData"/>
      <sheetName val="Pivot"/>
      <sheetName val="Spring CAF"/>
      <sheetName val="Post LS. Transp Change w Salary"/>
      <sheetName val="Post LS CAF Only"/>
      <sheetName val="Post LS. Salary Blended"/>
      <sheetName val="$1.50 Increase"/>
      <sheetName val="Post LS. Salary Blended BTL"/>
      <sheetName val="2nd $1.50 Increase "/>
      <sheetName val="Salary Blend and BTL Update"/>
      <sheetName val="All Rates"/>
      <sheetName val="Below The Line"/>
      <sheetName val="FY17 Data"/>
      <sheetName val="BTL 2"/>
    </sheetNames>
    <sheetDataSet>
      <sheetData sheetId="0"/>
      <sheetData sheetId="1"/>
      <sheetData sheetId="2"/>
      <sheetData sheetId="3">
        <row r="30">
          <cell r="M30">
            <v>10.883175785300898</v>
          </cell>
        </row>
      </sheetData>
      <sheetData sheetId="4"/>
      <sheetData sheetId="5"/>
      <sheetData sheetId="6"/>
      <sheetData sheetId="7">
        <row r="55">
          <cell r="E55">
            <v>1</v>
          </cell>
        </row>
      </sheetData>
      <sheetData sheetId="8">
        <row r="89">
          <cell r="H89">
            <v>0.23105972742020292</v>
          </cell>
          <cell r="M89">
            <v>0.12647885873312933</v>
          </cell>
        </row>
      </sheetData>
      <sheetData sheetId="9"/>
      <sheetData sheetId="10"/>
      <sheetData sheetId="11"/>
      <sheetData sheetId="12">
        <row r="30">
          <cell r="M30">
            <v>11.953557523366088</v>
          </cell>
        </row>
      </sheetData>
      <sheetData sheetId="13">
        <row r="19">
          <cell r="C19">
            <v>53818</v>
          </cell>
        </row>
      </sheetData>
      <sheetData sheetId="14">
        <row r="29">
          <cell r="M29">
            <v>10.868146380124763</v>
          </cell>
        </row>
      </sheetData>
      <sheetData sheetId="15">
        <row r="30">
          <cell r="M30">
            <v>11.819686407072098</v>
          </cell>
        </row>
      </sheetData>
      <sheetData sheetId="16">
        <row r="29">
          <cell r="M29">
            <v>12.290177715013428</v>
          </cell>
        </row>
      </sheetData>
      <sheetData sheetId="17">
        <row r="30">
          <cell r="M30">
            <v>12.708109741219189</v>
          </cell>
        </row>
      </sheetData>
      <sheetData sheetId="18"/>
      <sheetData sheetId="19">
        <row r="14">
          <cell r="R14">
            <v>58863.5</v>
          </cell>
          <cell r="S14">
            <v>32310.666666666668</v>
          </cell>
        </row>
      </sheetData>
      <sheetData sheetId="20"/>
      <sheetData sheetId="21"/>
      <sheetData sheetId="22">
        <row r="23">
          <cell r="Q23">
            <v>6.5544624043189366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Comparison"/>
      <sheetName val="FY18 Models Alone"/>
      <sheetName val="FY18 Models No Relief"/>
      <sheetName val="FY18 Models New Expense"/>
      <sheetName val="Expense Analysis"/>
      <sheetName val="Salaries"/>
      <sheetName val="T&amp;F - M&amp;G"/>
      <sheetName val="Pivot"/>
      <sheetName val="PivotData"/>
      <sheetName val="Expenses"/>
      <sheetName val="Fall2016 CAF"/>
      <sheetName val="Sheet1"/>
      <sheetName val="Sheet3"/>
    </sheetNames>
    <sheetDataSet>
      <sheetData sheetId="0"/>
      <sheetData sheetId="1">
        <row r="24">
          <cell r="F24">
            <v>5</v>
          </cell>
          <cell r="G24">
            <v>4</v>
          </cell>
          <cell r="H24">
            <v>3.25</v>
          </cell>
        </row>
        <row r="25">
          <cell r="F25">
            <v>0.23076923076923078</v>
          </cell>
          <cell r="G25">
            <v>0.18461538461538463</v>
          </cell>
          <cell r="H25">
            <v>0.15000000000000002</v>
          </cell>
        </row>
      </sheetData>
      <sheetData sheetId="2"/>
      <sheetData sheetId="3"/>
      <sheetData sheetId="4">
        <row r="3">
          <cell r="Y3">
            <v>10.270285325910709</v>
          </cell>
        </row>
      </sheetData>
      <sheetData sheetId="5">
        <row r="86">
          <cell r="J86">
            <v>32199.704295092924</v>
          </cell>
        </row>
        <row r="87">
          <cell r="AJ87">
            <v>56660.828649540119</v>
          </cell>
        </row>
      </sheetData>
      <sheetData sheetId="6"/>
      <sheetData sheetId="7"/>
      <sheetData sheetId="8"/>
      <sheetData sheetId="9"/>
      <sheetData sheetId="10">
        <row r="25">
          <cell r="BJ25">
            <v>2.5063915266617946E-2</v>
          </cell>
        </row>
      </sheetData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8 Model Updates CF"/>
      <sheetName val="FY18 Model Updates"/>
      <sheetName val="Model Budgets"/>
      <sheetName val="3777ModelBudgets"/>
      <sheetName val="Fall 2016 CAF"/>
      <sheetName val="Spring 2015 CAF"/>
      <sheetName val="Salaries-Staffing"/>
      <sheetName val="PivotExp"/>
      <sheetName val="3777FY15PediatricContracts"/>
      <sheetName val="FY10 3163 UFR Data"/>
    </sheetNames>
    <sheetDataSet>
      <sheetData sheetId="0"/>
      <sheetData sheetId="1"/>
      <sheetData sheetId="2"/>
      <sheetData sheetId="3"/>
      <sheetData sheetId="4">
        <row r="25">
          <cell r="BJ25">
            <v>2.5063915266617946E-2</v>
          </cell>
        </row>
      </sheetData>
      <sheetData sheetId="5">
        <row r="31">
          <cell r="AX31">
            <v>2.0354406130268236E-2</v>
          </cell>
        </row>
      </sheetData>
      <sheetData sheetId="6"/>
      <sheetData sheetId="7"/>
      <sheetData sheetId="8"/>
      <sheetData sheetId="9">
        <row r="110">
          <cell r="CI110">
            <v>51111.433516915815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Review"/>
      <sheetName val="FY18 Models New Expense"/>
      <sheetName val="3777ModelBudgets"/>
      <sheetName val="Analysis"/>
      <sheetName val="T &amp; F,M &amp; G"/>
      <sheetName val="FY16 UFR PivotData"/>
      <sheetName val="FY16 UFR Pivot"/>
      <sheetName val="Spring CAF"/>
    </sheetNames>
    <sheetDataSet>
      <sheetData sheetId="0"/>
      <sheetData sheetId="1"/>
      <sheetData sheetId="2"/>
      <sheetData sheetId="3"/>
      <sheetData sheetId="4">
        <row r="7">
          <cell r="O7">
            <v>56409.608617450482</v>
          </cell>
        </row>
        <row r="8">
          <cell r="H8">
            <v>10.819736304643023</v>
          </cell>
        </row>
        <row r="9">
          <cell r="H9">
            <v>1.5672043275850356</v>
          </cell>
        </row>
        <row r="10">
          <cell r="H10">
            <v>5.0330903324475935</v>
          </cell>
        </row>
        <row r="11">
          <cell r="H11">
            <v>1.2367396133400166</v>
          </cell>
        </row>
        <row r="12">
          <cell r="H12">
            <v>1.1148160758876351</v>
          </cell>
        </row>
        <row r="13">
          <cell r="H13">
            <v>1.6302160810224837</v>
          </cell>
        </row>
        <row r="14">
          <cell r="H14">
            <v>3.4494472650742094</v>
          </cell>
        </row>
        <row r="18">
          <cell r="O18">
            <v>31321.164534565924</v>
          </cell>
        </row>
        <row r="55">
          <cell r="E55">
            <v>1</v>
          </cell>
        </row>
        <row r="56">
          <cell r="E56">
            <v>0.65</v>
          </cell>
        </row>
        <row r="57">
          <cell r="E57">
            <v>0.5</v>
          </cell>
        </row>
        <row r="58">
          <cell r="E58">
            <v>0.4</v>
          </cell>
        </row>
        <row r="59">
          <cell r="E59">
            <v>0.25</v>
          </cell>
        </row>
        <row r="60">
          <cell r="E60">
            <v>0.2</v>
          </cell>
        </row>
      </sheetData>
      <sheetData sheetId="5">
        <row r="89">
          <cell r="H89">
            <v>0.23105972742020292</v>
          </cell>
          <cell r="M89">
            <v>0.12647885873312933</v>
          </cell>
        </row>
      </sheetData>
      <sheetData sheetId="6"/>
      <sheetData sheetId="7"/>
      <sheetData sheetId="8">
        <row r="27">
          <cell r="BK27">
            <v>2.7235921972764018E-2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7"/>
  <sheetViews>
    <sheetView tabSelected="1" topLeftCell="AX1" zoomScaleNormal="100" workbookViewId="0">
      <selection activeCell="BM51" sqref="BM51:BM52"/>
    </sheetView>
  </sheetViews>
  <sheetFormatPr defaultRowHeight="12.75"/>
  <cols>
    <col min="1" max="1" width="38.42578125" style="461" customWidth="1"/>
    <col min="2" max="2" width="12.85546875" style="466" customWidth="1"/>
    <col min="3" max="58" width="7.7109375" style="461" customWidth="1"/>
    <col min="59" max="59" width="13" style="461" customWidth="1"/>
    <col min="60" max="60" width="8.42578125" style="461" customWidth="1"/>
    <col min="61" max="61" width="8.140625" style="461" customWidth="1"/>
    <col min="62" max="62" width="8.140625" style="461" bestFit="1" customWidth="1"/>
    <col min="63" max="63" width="8.140625" style="461" customWidth="1"/>
    <col min="64" max="64" width="0.28515625" style="461" customWidth="1"/>
    <col min="65" max="65" width="10.7109375" style="461" customWidth="1"/>
    <col min="66" max="67" width="8.140625" style="461" bestFit="1" customWidth="1"/>
    <col min="68" max="68" width="7.42578125" style="461" bestFit="1" customWidth="1"/>
    <col min="69" max="69" width="9" style="461" bestFit="1" customWidth="1"/>
    <col min="70" max="70" width="10.85546875" style="461" customWidth="1"/>
    <col min="71" max="82" width="7.7109375" style="461" customWidth="1"/>
    <col min="83" max="256" width="8.85546875" style="461"/>
    <col min="257" max="257" width="38.42578125" style="461" customWidth="1"/>
    <col min="258" max="258" width="12.85546875" style="461" customWidth="1"/>
    <col min="259" max="314" width="7.7109375" style="461" customWidth="1"/>
    <col min="315" max="315" width="13" style="461" customWidth="1"/>
    <col min="316" max="316" width="8.42578125" style="461" customWidth="1"/>
    <col min="317" max="317" width="8.140625" style="461" customWidth="1"/>
    <col min="318" max="323" width="8.140625" style="461" bestFit="1" customWidth="1"/>
    <col min="324" max="324" width="7.42578125" style="461" bestFit="1" customWidth="1"/>
    <col min="325" max="325" width="9" style="461" bestFit="1" customWidth="1"/>
    <col min="326" max="338" width="7.7109375" style="461" customWidth="1"/>
    <col min="339" max="512" width="8.85546875" style="461"/>
    <col min="513" max="513" width="38.42578125" style="461" customWidth="1"/>
    <col min="514" max="514" width="12.85546875" style="461" customWidth="1"/>
    <col min="515" max="570" width="7.7109375" style="461" customWidth="1"/>
    <col min="571" max="571" width="13" style="461" customWidth="1"/>
    <col min="572" max="572" width="8.42578125" style="461" customWidth="1"/>
    <col min="573" max="573" width="8.140625" style="461" customWidth="1"/>
    <col min="574" max="579" width="8.140625" style="461" bestFit="1" customWidth="1"/>
    <col min="580" max="580" width="7.42578125" style="461" bestFit="1" customWidth="1"/>
    <col min="581" max="581" width="9" style="461" bestFit="1" customWidth="1"/>
    <col min="582" max="594" width="7.7109375" style="461" customWidth="1"/>
    <col min="595" max="768" width="8.85546875" style="461"/>
    <col min="769" max="769" width="38.42578125" style="461" customWidth="1"/>
    <col min="770" max="770" width="12.85546875" style="461" customWidth="1"/>
    <col min="771" max="826" width="7.7109375" style="461" customWidth="1"/>
    <col min="827" max="827" width="13" style="461" customWidth="1"/>
    <col min="828" max="828" width="8.42578125" style="461" customWidth="1"/>
    <col min="829" max="829" width="8.140625" style="461" customWidth="1"/>
    <col min="830" max="835" width="8.140625" style="461" bestFit="1" customWidth="1"/>
    <col min="836" max="836" width="7.42578125" style="461" bestFit="1" customWidth="1"/>
    <col min="837" max="837" width="9" style="461" bestFit="1" customWidth="1"/>
    <col min="838" max="850" width="7.7109375" style="461" customWidth="1"/>
    <col min="851" max="1024" width="8.85546875" style="461"/>
    <col min="1025" max="1025" width="38.42578125" style="461" customWidth="1"/>
    <col min="1026" max="1026" width="12.85546875" style="461" customWidth="1"/>
    <col min="1027" max="1082" width="7.7109375" style="461" customWidth="1"/>
    <col min="1083" max="1083" width="13" style="461" customWidth="1"/>
    <col min="1084" max="1084" width="8.42578125" style="461" customWidth="1"/>
    <col min="1085" max="1085" width="8.140625" style="461" customWidth="1"/>
    <col min="1086" max="1091" width="8.140625" style="461" bestFit="1" customWidth="1"/>
    <col min="1092" max="1092" width="7.42578125" style="461" bestFit="1" customWidth="1"/>
    <col min="1093" max="1093" width="9" style="461" bestFit="1" customWidth="1"/>
    <col min="1094" max="1106" width="7.7109375" style="461" customWidth="1"/>
    <col min="1107" max="1280" width="8.85546875" style="461"/>
    <col min="1281" max="1281" width="38.42578125" style="461" customWidth="1"/>
    <col min="1282" max="1282" width="12.85546875" style="461" customWidth="1"/>
    <col min="1283" max="1338" width="7.7109375" style="461" customWidth="1"/>
    <col min="1339" max="1339" width="13" style="461" customWidth="1"/>
    <col min="1340" max="1340" width="8.42578125" style="461" customWidth="1"/>
    <col min="1341" max="1341" width="8.140625" style="461" customWidth="1"/>
    <col min="1342" max="1347" width="8.140625" style="461" bestFit="1" customWidth="1"/>
    <col min="1348" max="1348" width="7.42578125" style="461" bestFit="1" customWidth="1"/>
    <col min="1349" max="1349" width="9" style="461" bestFit="1" customWidth="1"/>
    <col min="1350" max="1362" width="7.7109375" style="461" customWidth="1"/>
    <col min="1363" max="1536" width="8.85546875" style="461"/>
    <col min="1537" max="1537" width="38.42578125" style="461" customWidth="1"/>
    <col min="1538" max="1538" width="12.85546875" style="461" customWidth="1"/>
    <col min="1539" max="1594" width="7.7109375" style="461" customWidth="1"/>
    <col min="1595" max="1595" width="13" style="461" customWidth="1"/>
    <col min="1596" max="1596" width="8.42578125" style="461" customWidth="1"/>
    <col min="1597" max="1597" width="8.140625" style="461" customWidth="1"/>
    <col min="1598" max="1603" width="8.140625" style="461" bestFit="1" customWidth="1"/>
    <col min="1604" max="1604" width="7.42578125" style="461" bestFit="1" customWidth="1"/>
    <col min="1605" max="1605" width="9" style="461" bestFit="1" customWidth="1"/>
    <col min="1606" max="1618" width="7.7109375" style="461" customWidth="1"/>
    <col min="1619" max="1792" width="8.85546875" style="461"/>
    <col min="1793" max="1793" width="38.42578125" style="461" customWidth="1"/>
    <col min="1794" max="1794" width="12.85546875" style="461" customWidth="1"/>
    <col min="1795" max="1850" width="7.7109375" style="461" customWidth="1"/>
    <col min="1851" max="1851" width="13" style="461" customWidth="1"/>
    <col min="1852" max="1852" width="8.42578125" style="461" customWidth="1"/>
    <col min="1853" max="1853" width="8.140625" style="461" customWidth="1"/>
    <col min="1854" max="1859" width="8.140625" style="461" bestFit="1" customWidth="1"/>
    <col min="1860" max="1860" width="7.42578125" style="461" bestFit="1" customWidth="1"/>
    <col min="1861" max="1861" width="9" style="461" bestFit="1" customWidth="1"/>
    <col min="1862" max="1874" width="7.7109375" style="461" customWidth="1"/>
    <col min="1875" max="2048" width="8.85546875" style="461"/>
    <col min="2049" max="2049" width="38.42578125" style="461" customWidth="1"/>
    <col min="2050" max="2050" width="12.85546875" style="461" customWidth="1"/>
    <col min="2051" max="2106" width="7.7109375" style="461" customWidth="1"/>
    <col min="2107" max="2107" width="13" style="461" customWidth="1"/>
    <col min="2108" max="2108" width="8.42578125" style="461" customWidth="1"/>
    <col min="2109" max="2109" width="8.140625" style="461" customWidth="1"/>
    <col min="2110" max="2115" width="8.140625" style="461" bestFit="1" customWidth="1"/>
    <col min="2116" max="2116" width="7.42578125" style="461" bestFit="1" customWidth="1"/>
    <col min="2117" max="2117" width="9" style="461" bestFit="1" customWidth="1"/>
    <col min="2118" max="2130" width="7.7109375" style="461" customWidth="1"/>
    <col min="2131" max="2304" width="8.85546875" style="461"/>
    <col min="2305" max="2305" width="38.42578125" style="461" customWidth="1"/>
    <col min="2306" max="2306" width="12.85546875" style="461" customWidth="1"/>
    <col min="2307" max="2362" width="7.7109375" style="461" customWidth="1"/>
    <col min="2363" max="2363" width="13" style="461" customWidth="1"/>
    <col min="2364" max="2364" width="8.42578125" style="461" customWidth="1"/>
    <col min="2365" max="2365" width="8.140625" style="461" customWidth="1"/>
    <col min="2366" max="2371" width="8.140625" style="461" bestFit="1" customWidth="1"/>
    <col min="2372" max="2372" width="7.42578125" style="461" bestFit="1" customWidth="1"/>
    <col min="2373" max="2373" width="9" style="461" bestFit="1" customWidth="1"/>
    <col min="2374" max="2386" width="7.7109375" style="461" customWidth="1"/>
    <col min="2387" max="2560" width="8.85546875" style="461"/>
    <col min="2561" max="2561" width="38.42578125" style="461" customWidth="1"/>
    <col min="2562" max="2562" width="12.85546875" style="461" customWidth="1"/>
    <col min="2563" max="2618" width="7.7109375" style="461" customWidth="1"/>
    <col min="2619" max="2619" width="13" style="461" customWidth="1"/>
    <col min="2620" max="2620" width="8.42578125" style="461" customWidth="1"/>
    <col min="2621" max="2621" width="8.140625" style="461" customWidth="1"/>
    <col min="2622" max="2627" width="8.140625" style="461" bestFit="1" customWidth="1"/>
    <col min="2628" max="2628" width="7.42578125" style="461" bestFit="1" customWidth="1"/>
    <col min="2629" max="2629" width="9" style="461" bestFit="1" customWidth="1"/>
    <col min="2630" max="2642" width="7.7109375" style="461" customWidth="1"/>
    <col min="2643" max="2816" width="8.85546875" style="461"/>
    <col min="2817" max="2817" width="38.42578125" style="461" customWidth="1"/>
    <col min="2818" max="2818" width="12.85546875" style="461" customWidth="1"/>
    <col min="2819" max="2874" width="7.7109375" style="461" customWidth="1"/>
    <col min="2875" max="2875" width="13" style="461" customWidth="1"/>
    <col min="2876" max="2876" width="8.42578125" style="461" customWidth="1"/>
    <col min="2877" max="2877" width="8.140625" style="461" customWidth="1"/>
    <col min="2878" max="2883" width="8.140625" style="461" bestFit="1" customWidth="1"/>
    <col min="2884" max="2884" width="7.42578125" style="461" bestFit="1" customWidth="1"/>
    <col min="2885" max="2885" width="9" style="461" bestFit="1" customWidth="1"/>
    <col min="2886" max="2898" width="7.7109375" style="461" customWidth="1"/>
    <col min="2899" max="3072" width="8.85546875" style="461"/>
    <col min="3073" max="3073" width="38.42578125" style="461" customWidth="1"/>
    <col min="3074" max="3074" width="12.85546875" style="461" customWidth="1"/>
    <col min="3075" max="3130" width="7.7109375" style="461" customWidth="1"/>
    <col min="3131" max="3131" width="13" style="461" customWidth="1"/>
    <col min="3132" max="3132" width="8.42578125" style="461" customWidth="1"/>
    <col min="3133" max="3133" width="8.140625" style="461" customWidth="1"/>
    <col min="3134" max="3139" width="8.140625" style="461" bestFit="1" customWidth="1"/>
    <col min="3140" max="3140" width="7.42578125" style="461" bestFit="1" customWidth="1"/>
    <col min="3141" max="3141" width="9" style="461" bestFit="1" customWidth="1"/>
    <col min="3142" max="3154" width="7.7109375" style="461" customWidth="1"/>
    <col min="3155" max="3328" width="8.85546875" style="461"/>
    <col min="3329" max="3329" width="38.42578125" style="461" customWidth="1"/>
    <col min="3330" max="3330" width="12.85546875" style="461" customWidth="1"/>
    <col min="3331" max="3386" width="7.7109375" style="461" customWidth="1"/>
    <col min="3387" max="3387" width="13" style="461" customWidth="1"/>
    <col min="3388" max="3388" width="8.42578125" style="461" customWidth="1"/>
    <col min="3389" max="3389" width="8.140625" style="461" customWidth="1"/>
    <col min="3390" max="3395" width="8.140625" style="461" bestFit="1" customWidth="1"/>
    <col min="3396" max="3396" width="7.42578125" style="461" bestFit="1" customWidth="1"/>
    <col min="3397" max="3397" width="9" style="461" bestFit="1" customWidth="1"/>
    <col min="3398" max="3410" width="7.7109375" style="461" customWidth="1"/>
    <col min="3411" max="3584" width="8.85546875" style="461"/>
    <col min="3585" max="3585" width="38.42578125" style="461" customWidth="1"/>
    <col min="3586" max="3586" width="12.85546875" style="461" customWidth="1"/>
    <col min="3587" max="3642" width="7.7109375" style="461" customWidth="1"/>
    <col min="3643" max="3643" width="13" style="461" customWidth="1"/>
    <col min="3644" max="3644" width="8.42578125" style="461" customWidth="1"/>
    <col min="3645" max="3645" width="8.140625" style="461" customWidth="1"/>
    <col min="3646" max="3651" width="8.140625" style="461" bestFit="1" customWidth="1"/>
    <col min="3652" max="3652" width="7.42578125" style="461" bestFit="1" customWidth="1"/>
    <col min="3653" max="3653" width="9" style="461" bestFit="1" customWidth="1"/>
    <col min="3654" max="3666" width="7.7109375" style="461" customWidth="1"/>
    <col min="3667" max="3840" width="8.85546875" style="461"/>
    <col min="3841" max="3841" width="38.42578125" style="461" customWidth="1"/>
    <col min="3842" max="3842" width="12.85546875" style="461" customWidth="1"/>
    <col min="3843" max="3898" width="7.7109375" style="461" customWidth="1"/>
    <col min="3899" max="3899" width="13" style="461" customWidth="1"/>
    <col min="3900" max="3900" width="8.42578125" style="461" customWidth="1"/>
    <col min="3901" max="3901" width="8.140625" style="461" customWidth="1"/>
    <col min="3902" max="3907" width="8.140625" style="461" bestFit="1" customWidth="1"/>
    <col min="3908" max="3908" width="7.42578125" style="461" bestFit="1" customWidth="1"/>
    <col min="3909" max="3909" width="9" style="461" bestFit="1" customWidth="1"/>
    <col min="3910" max="3922" width="7.7109375" style="461" customWidth="1"/>
    <col min="3923" max="4096" width="8.85546875" style="461"/>
    <col min="4097" max="4097" width="38.42578125" style="461" customWidth="1"/>
    <col min="4098" max="4098" width="12.85546875" style="461" customWidth="1"/>
    <col min="4099" max="4154" width="7.7109375" style="461" customWidth="1"/>
    <col min="4155" max="4155" width="13" style="461" customWidth="1"/>
    <col min="4156" max="4156" width="8.42578125" style="461" customWidth="1"/>
    <col min="4157" max="4157" width="8.140625" style="461" customWidth="1"/>
    <col min="4158" max="4163" width="8.140625" style="461" bestFit="1" customWidth="1"/>
    <col min="4164" max="4164" width="7.42578125" style="461" bestFit="1" customWidth="1"/>
    <col min="4165" max="4165" width="9" style="461" bestFit="1" customWidth="1"/>
    <col min="4166" max="4178" width="7.7109375" style="461" customWidth="1"/>
    <col min="4179" max="4352" width="8.85546875" style="461"/>
    <col min="4353" max="4353" width="38.42578125" style="461" customWidth="1"/>
    <col min="4354" max="4354" width="12.85546875" style="461" customWidth="1"/>
    <col min="4355" max="4410" width="7.7109375" style="461" customWidth="1"/>
    <col min="4411" max="4411" width="13" style="461" customWidth="1"/>
    <col min="4412" max="4412" width="8.42578125" style="461" customWidth="1"/>
    <col min="4413" max="4413" width="8.140625" style="461" customWidth="1"/>
    <col min="4414" max="4419" width="8.140625" style="461" bestFit="1" customWidth="1"/>
    <col min="4420" max="4420" width="7.42578125" style="461" bestFit="1" customWidth="1"/>
    <col min="4421" max="4421" width="9" style="461" bestFit="1" customWidth="1"/>
    <col min="4422" max="4434" width="7.7109375" style="461" customWidth="1"/>
    <col min="4435" max="4608" width="8.85546875" style="461"/>
    <col min="4609" max="4609" width="38.42578125" style="461" customWidth="1"/>
    <col min="4610" max="4610" width="12.85546875" style="461" customWidth="1"/>
    <col min="4611" max="4666" width="7.7109375" style="461" customWidth="1"/>
    <col min="4667" max="4667" width="13" style="461" customWidth="1"/>
    <col min="4668" max="4668" width="8.42578125" style="461" customWidth="1"/>
    <col min="4669" max="4669" width="8.140625" style="461" customWidth="1"/>
    <col min="4670" max="4675" width="8.140625" style="461" bestFit="1" customWidth="1"/>
    <col min="4676" max="4676" width="7.42578125" style="461" bestFit="1" customWidth="1"/>
    <col min="4677" max="4677" width="9" style="461" bestFit="1" customWidth="1"/>
    <col min="4678" max="4690" width="7.7109375" style="461" customWidth="1"/>
    <col min="4691" max="4864" width="8.85546875" style="461"/>
    <col min="4865" max="4865" width="38.42578125" style="461" customWidth="1"/>
    <col min="4866" max="4866" width="12.85546875" style="461" customWidth="1"/>
    <col min="4867" max="4922" width="7.7109375" style="461" customWidth="1"/>
    <col min="4923" max="4923" width="13" style="461" customWidth="1"/>
    <col min="4924" max="4924" width="8.42578125" style="461" customWidth="1"/>
    <col min="4925" max="4925" width="8.140625" style="461" customWidth="1"/>
    <col min="4926" max="4931" width="8.140625" style="461" bestFit="1" customWidth="1"/>
    <col min="4932" max="4932" width="7.42578125" style="461" bestFit="1" customWidth="1"/>
    <col min="4933" max="4933" width="9" style="461" bestFit="1" customWidth="1"/>
    <col min="4934" max="4946" width="7.7109375" style="461" customWidth="1"/>
    <col min="4947" max="5120" width="8.85546875" style="461"/>
    <col min="5121" max="5121" width="38.42578125" style="461" customWidth="1"/>
    <col min="5122" max="5122" width="12.85546875" style="461" customWidth="1"/>
    <col min="5123" max="5178" width="7.7109375" style="461" customWidth="1"/>
    <col min="5179" max="5179" width="13" style="461" customWidth="1"/>
    <col min="5180" max="5180" width="8.42578125" style="461" customWidth="1"/>
    <col min="5181" max="5181" width="8.140625" style="461" customWidth="1"/>
    <col min="5182" max="5187" width="8.140625" style="461" bestFit="1" customWidth="1"/>
    <col min="5188" max="5188" width="7.42578125" style="461" bestFit="1" customWidth="1"/>
    <col min="5189" max="5189" width="9" style="461" bestFit="1" customWidth="1"/>
    <col min="5190" max="5202" width="7.7109375" style="461" customWidth="1"/>
    <col min="5203" max="5376" width="8.85546875" style="461"/>
    <col min="5377" max="5377" width="38.42578125" style="461" customWidth="1"/>
    <col min="5378" max="5378" width="12.85546875" style="461" customWidth="1"/>
    <col min="5379" max="5434" width="7.7109375" style="461" customWidth="1"/>
    <col min="5435" max="5435" width="13" style="461" customWidth="1"/>
    <col min="5436" max="5436" width="8.42578125" style="461" customWidth="1"/>
    <col min="5437" max="5437" width="8.140625" style="461" customWidth="1"/>
    <col min="5438" max="5443" width="8.140625" style="461" bestFit="1" customWidth="1"/>
    <col min="5444" max="5444" width="7.42578125" style="461" bestFit="1" customWidth="1"/>
    <col min="5445" max="5445" width="9" style="461" bestFit="1" customWidth="1"/>
    <col min="5446" max="5458" width="7.7109375" style="461" customWidth="1"/>
    <col min="5459" max="5632" width="8.85546875" style="461"/>
    <col min="5633" max="5633" width="38.42578125" style="461" customWidth="1"/>
    <col min="5634" max="5634" width="12.85546875" style="461" customWidth="1"/>
    <col min="5635" max="5690" width="7.7109375" style="461" customWidth="1"/>
    <col min="5691" max="5691" width="13" style="461" customWidth="1"/>
    <col min="5692" max="5692" width="8.42578125" style="461" customWidth="1"/>
    <col min="5693" max="5693" width="8.140625" style="461" customWidth="1"/>
    <col min="5694" max="5699" width="8.140625" style="461" bestFit="1" customWidth="1"/>
    <col min="5700" max="5700" width="7.42578125" style="461" bestFit="1" customWidth="1"/>
    <col min="5701" max="5701" width="9" style="461" bestFit="1" customWidth="1"/>
    <col min="5702" max="5714" width="7.7109375" style="461" customWidth="1"/>
    <col min="5715" max="5888" width="8.85546875" style="461"/>
    <col min="5889" max="5889" width="38.42578125" style="461" customWidth="1"/>
    <col min="5890" max="5890" width="12.85546875" style="461" customWidth="1"/>
    <col min="5891" max="5946" width="7.7109375" style="461" customWidth="1"/>
    <col min="5947" max="5947" width="13" style="461" customWidth="1"/>
    <col min="5948" max="5948" width="8.42578125" style="461" customWidth="1"/>
    <col min="5949" max="5949" width="8.140625" style="461" customWidth="1"/>
    <col min="5950" max="5955" width="8.140625" style="461" bestFit="1" customWidth="1"/>
    <col min="5956" max="5956" width="7.42578125" style="461" bestFit="1" customWidth="1"/>
    <col min="5957" max="5957" width="9" style="461" bestFit="1" customWidth="1"/>
    <col min="5958" max="5970" width="7.7109375" style="461" customWidth="1"/>
    <col min="5971" max="6144" width="8.85546875" style="461"/>
    <col min="6145" max="6145" width="38.42578125" style="461" customWidth="1"/>
    <col min="6146" max="6146" width="12.85546875" style="461" customWidth="1"/>
    <col min="6147" max="6202" width="7.7109375" style="461" customWidth="1"/>
    <col min="6203" max="6203" width="13" style="461" customWidth="1"/>
    <col min="6204" max="6204" width="8.42578125" style="461" customWidth="1"/>
    <col min="6205" max="6205" width="8.140625" style="461" customWidth="1"/>
    <col min="6206" max="6211" width="8.140625" style="461" bestFit="1" customWidth="1"/>
    <col min="6212" max="6212" width="7.42578125" style="461" bestFit="1" customWidth="1"/>
    <col min="6213" max="6213" width="9" style="461" bestFit="1" customWidth="1"/>
    <col min="6214" max="6226" width="7.7109375" style="461" customWidth="1"/>
    <col min="6227" max="6400" width="8.85546875" style="461"/>
    <col min="6401" max="6401" width="38.42578125" style="461" customWidth="1"/>
    <col min="6402" max="6402" width="12.85546875" style="461" customWidth="1"/>
    <col min="6403" max="6458" width="7.7109375" style="461" customWidth="1"/>
    <col min="6459" max="6459" width="13" style="461" customWidth="1"/>
    <col min="6460" max="6460" width="8.42578125" style="461" customWidth="1"/>
    <col min="6461" max="6461" width="8.140625" style="461" customWidth="1"/>
    <col min="6462" max="6467" width="8.140625" style="461" bestFit="1" customWidth="1"/>
    <col min="6468" max="6468" width="7.42578125" style="461" bestFit="1" customWidth="1"/>
    <col min="6469" max="6469" width="9" style="461" bestFit="1" customWidth="1"/>
    <col min="6470" max="6482" width="7.7109375" style="461" customWidth="1"/>
    <col min="6483" max="6656" width="8.85546875" style="461"/>
    <col min="6657" max="6657" width="38.42578125" style="461" customWidth="1"/>
    <col min="6658" max="6658" width="12.85546875" style="461" customWidth="1"/>
    <col min="6659" max="6714" width="7.7109375" style="461" customWidth="1"/>
    <col min="6715" max="6715" width="13" style="461" customWidth="1"/>
    <col min="6716" max="6716" width="8.42578125" style="461" customWidth="1"/>
    <col min="6717" max="6717" width="8.140625" style="461" customWidth="1"/>
    <col min="6718" max="6723" width="8.140625" style="461" bestFit="1" customWidth="1"/>
    <col min="6724" max="6724" width="7.42578125" style="461" bestFit="1" customWidth="1"/>
    <col min="6725" max="6725" width="9" style="461" bestFit="1" customWidth="1"/>
    <col min="6726" max="6738" width="7.7109375" style="461" customWidth="1"/>
    <col min="6739" max="6912" width="8.85546875" style="461"/>
    <col min="6913" max="6913" width="38.42578125" style="461" customWidth="1"/>
    <col min="6914" max="6914" width="12.85546875" style="461" customWidth="1"/>
    <col min="6915" max="6970" width="7.7109375" style="461" customWidth="1"/>
    <col min="6971" max="6971" width="13" style="461" customWidth="1"/>
    <col min="6972" max="6972" width="8.42578125" style="461" customWidth="1"/>
    <col min="6973" max="6973" width="8.140625" style="461" customWidth="1"/>
    <col min="6974" max="6979" width="8.140625" style="461" bestFit="1" customWidth="1"/>
    <col min="6980" max="6980" width="7.42578125" style="461" bestFit="1" customWidth="1"/>
    <col min="6981" max="6981" width="9" style="461" bestFit="1" customWidth="1"/>
    <col min="6982" max="6994" width="7.7109375" style="461" customWidth="1"/>
    <col min="6995" max="7168" width="8.85546875" style="461"/>
    <col min="7169" max="7169" width="38.42578125" style="461" customWidth="1"/>
    <col min="7170" max="7170" width="12.85546875" style="461" customWidth="1"/>
    <col min="7171" max="7226" width="7.7109375" style="461" customWidth="1"/>
    <col min="7227" max="7227" width="13" style="461" customWidth="1"/>
    <col min="7228" max="7228" width="8.42578125" style="461" customWidth="1"/>
    <col min="7229" max="7229" width="8.140625" style="461" customWidth="1"/>
    <col min="7230" max="7235" width="8.140625" style="461" bestFit="1" customWidth="1"/>
    <col min="7236" max="7236" width="7.42578125" style="461" bestFit="1" customWidth="1"/>
    <col min="7237" max="7237" width="9" style="461" bestFit="1" customWidth="1"/>
    <col min="7238" max="7250" width="7.7109375" style="461" customWidth="1"/>
    <col min="7251" max="7424" width="8.85546875" style="461"/>
    <col min="7425" max="7425" width="38.42578125" style="461" customWidth="1"/>
    <col min="7426" max="7426" width="12.85546875" style="461" customWidth="1"/>
    <col min="7427" max="7482" width="7.7109375" style="461" customWidth="1"/>
    <col min="7483" max="7483" width="13" style="461" customWidth="1"/>
    <col min="7484" max="7484" width="8.42578125" style="461" customWidth="1"/>
    <col min="7485" max="7485" width="8.140625" style="461" customWidth="1"/>
    <col min="7486" max="7491" width="8.140625" style="461" bestFit="1" customWidth="1"/>
    <col min="7492" max="7492" width="7.42578125" style="461" bestFit="1" customWidth="1"/>
    <col min="7493" max="7493" width="9" style="461" bestFit="1" customWidth="1"/>
    <col min="7494" max="7506" width="7.7109375" style="461" customWidth="1"/>
    <col min="7507" max="7680" width="8.85546875" style="461"/>
    <col min="7681" max="7681" width="38.42578125" style="461" customWidth="1"/>
    <col min="7682" max="7682" width="12.85546875" style="461" customWidth="1"/>
    <col min="7683" max="7738" width="7.7109375" style="461" customWidth="1"/>
    <col min="7739" max="7739" width="13" style="461" customWidth="1"/>
    <col min="7740" max="7740" width="8.42578125" style="461" customWidth="1"/>
    <col min="7741" max="7741" width="8.140625" style="461" customWidth="1"/>
    <col min="7742" max="7747" width="8.140625" style="461" bestFit="1" customWidth="1"/>
    <col min="7748" max="7748" width="7.42578125" style="461" bestFit="1" customWidth="1"/>
    <col min="7749" max="7749" width="9" style="461" bestFit="1" customWidth="1"/>
    <col min="7750" max="7762" width="7.7109375" style="461" customWidth="1"/>
    <col min="7763" max="7936" width="8.85546875" style="461"/>
    <col min="7937" max="7937" width="38.42578125" style="461" customWidth="1"/>
    <col min="7938" max="7938" width="12.85546875" style="461" customWidth="1"/>
    <col min="7939" max="7994" width="7.7109375" style="461" customWidth="1"/>
    <col min="7995" max="7995" width="13" style="461" customWidth="1"/>
    <col min="7996" max="7996" width="8.42578125" style="461" customWidth="1"/>
    <col min="7997" max="7997" width="8.140625" style="461" customWidth="1"/>
    <col min="7998" max="8003" width="8.140625" style="461" bestFit="1" customWidth="1"/>
    <col min="8004" max="8004" width="7.42578125" style="461" bestFit="1" customWidth="1"/>
    <col min="8005" max="8005" width="9" style="461" bestFit="1" customWidth="1"/>
    <col min="8006" max="8018" width="7.7109375" style="461" customWidth="1"/>
    <col min="8019" max="8192" width="8.85546875" style="461"/>
    <col min="8193" max="8193" width="38.42578125" style="461" customWidth="1"/>
    <col min="8194" max="8194" width="12.85546875" style="461" customWidth="1"/>
    <col min="8195" max="8250" width="7.7109375" style="461" customWidth="1"/>
    <col min="8251" max="8251" width="13" style="461" customWidth="1"/>
    <col min="8252" max="8252" width="8.42578125" style="461" customWidth="1"/>
    <col min="8253" max="8253" width="8.140625" style="461" customWidth="1"/>
    <col min="8254" max="8259" width="8.140625" style="461" bestFit="1" customWidth="1"/>
    <col min="8260" max="8260" width="7.42578125" style="461" bestFit="1" customWidth="1"/>
    <col min="8261" max="8261" width="9" style="461" bestFit="1" customWidth="1"/>
    <col min="8262" max="8274" width="7.7109375" style="461" customWidth="1"/>
    <col min="8275" max="8448" width="8.85546875" style="461"/>
    <col min="8449" max="8449" width="38.42578125" style="461" customWidth="1"/>
    <col min="8450" max="8450" width="12.85546875" style="461" customWidth="1"/>
    <col min="8451" max="8506" width="7.7109375" style="461" customWidth="1"/>
    <col min="8507" max="8507" width="13" style="461" customWidth="1"/>
    <col min="8508" max="8508" width="8.42578125" style="461" customWidth="1"/>
    <col min="8509" max="8509" width="8.140625" style="461" customWidth="1"/>
    <col min="8510" max="8515" width="8.140625" style="461" bestFit="1" customWidth="1"/>
    <col min="8516" max="8516" width="7.42578125" style="461" bestFit="1" customWidth="1"/>
    <col min="8517" max="8517" width="9" style="461" bestFit="1" customWidth="1"/>
    <col min="8518" max="8530" width="7.7109375" style="461" customWidth="1"/>
    <col min="8531" max="8704" width="8.85546875" style="461"/>
    <col min="8705" max="8705" width="38.42578125" style="461" customWidth="1"/>
    <col min="8706" max="8706" width="12.85546875" style="461" customWidth="1"/>
    <col min="8707" max="8762" width="7.7109375" style="461" customWidth="1"/>
    <col min="8763" max="8763" width="13" style="461" customWidth="1"/>
    <col min="8764" max="8764" width="8.42578125" style="461" customWidth="1"/>
    <col min="8765" max="8765" width="8.140625" style="461" customWidth="1"/>
    <col min="8766" max="8771" width="8.140625" style="461" bestFit="1" customWidth="1"/>
    <col min="8772" max="8772" width="7.42578125" style="461" bestFit="1" customWidth="1"/>
    <col min="8773" max="8773" width="9" style="461" bestFit="1" customWidth="1"/>
    <col min="8774" max="8786" width="7.7109375" style="461" customWidth="1"/>
    <col min="8787" max="8960" width="8.85546875" style="461"/>
    <col min="8961" max="8961" width="38.42578125" style="461" customWidth="1"/>
    <col min="8962" max="8962" width="12.85546875" style="461" customWidth="1"/>
    <col min="8963" max="9018" width="7.7109375" style="461" customWidth="1"/>
    <col min="9019" max="9019" width="13" style="461" customWidth="1"/>
    <col min="9020" max="9020" width="8.42578125" style="461" customWidth="1"/>
    <col min="9021" max="9021" width="8.140625" style="461" customWidth="1"/>
    <col min="9022" max="9027" width="8.140625" style="461" bestFit="1" customWidth="1"/>
    <col min="9028" max="9028" width="7.42578125" style="461" bestFit="1" customWidth="1"/>
    <col min="9029" max="9029" width="9" style="461" bestFit="1" customWidth="1"/>
    <col min="9030" max="9042" width="7.7109375" style="461" customWidth="1"/>
    <col min="9043" max="9216" width="8.85546875" style="461"/>
    <col min="9217" max="9217" width="38.42578125" style="461" customWidth="1"/>
    <col min="9218" max="9218" width="12.85546875" style="461" customWidth="1"/>
    <col min="9219" max="9274" width="7.7109375" style="461" customWidth="1"/>
    <col min="9275" max="9275" width="13" style="461" customWidth="1"/>
    <col min="9276" max="9276" width="8.42578125" style="461" customWidth="1"/>
    <col min="9277" max="9277" width="8.140625" style="461" customWidth="1"/>
    <col min="9278" max="9283" width="8.140625" style="461" bestFit="1" customWidth="1"/>
    <col min="9284" max="9284" width="7.42578125" style="461" bestFit="1" customWidth="1"/>
    <col min="9285" max="9285" width="9" style="461" bestFit="1" customWidth="1"/>
    <col min="9286" max="9298" width="7.7109375" style="461" customWidth="1"/>
    <col min="9299" max="9472" width="8.85546875" style="461"/>
    <col min="9473" max="9473" width="38.42578125" style="461" customWidth="1"/>
    <col min="9474" max="9474" width="12.85546875" style="461" customWidth="1"/>
    <col min="9475" max="9530" width="7.7109375" style="461" customWidth="1"/>
    <col min="9531" max="9531" width="13" style="461" customWidth="1"/>
    <col min="9532" max="9532" width="8.42578125" style="461" customWidth="1"/>
    <col min="9533" max="9533" width="8.140625" style="461" customWidth="1"/>
    <col min="9534" max="9539" width="8.140625" style="461" bestFit="1" customWidth="1"/>
    <col min="9540" max="9540" width="7.42578125" style="461" bestFit="1" customWidth="1"/>
    <col min="9541" max="9541" width="9" style="461" bestFit="1" customWidth="1"/>
    <col min="9542" max="9554" width="7.7109375" style="461" customWidth="1"/>
    <col min="9555" max="9728" width="8.85546875" style="461"/>
    <col min="9729" max="9729" width="38.42578125" style="461" customWidth="1"/>
    <col min="9730" max="9730" width="12.85546875" style="461" customWidth="1"/>
    <col min="9731" max="9786" width="7.7109375" style="461" customWidth="1"/>
    <col min="9787" max="9787" width="13" style="461" customWidth="1"/>
    <col min="9788" max="9788" width="8.42578125" style="461" customWidth="1"/>
    <col min="9789" max="9789" width="8.140625" style="461" customWidth="1"/>
    <col min="9790" max="9795" width="8.140625" style="461" bestFit="1" customWidth="1"/>
    <col min="9796" max="9796" width="7.42578125" style="461" bestFit="1" customWidth="1"/>
    <col min="9797" max="9797" width="9" style="461" bestFit="1" customWidth="1"/>
    <col min="9798" max="9810" width="7.7109375" style="461" customWidth="1"/>
    <col min="9811" max="9984" width="8.85546875" style="461"/>
    <col min="9985" max="9985" width="38.42578125" style="461" customWidth="1"/>
    <col min="9986" max="9986" width="12.85546875" style="461" customWidth="1"/>
    <col min="9987" max="10042" width="7.7109375" style="461" customWidth="1"/>
    <col min="10043" max="10043" width="13" style="461" customWidth="1"/>
    <col min="10044" max="10044" width="8.42578125" style="461" customWidth="1"/>
    <col min="10045" max="10045" width="8.140625" style="461" customWidth="1"/>
    <col min="10046" max="10051" width="8.140625" style="461" bestFit="1" customWidth="1"/>
    <col min="10052" max="10052" width="7.42578125" style="461" bestFit="1" customWidth="1"/>
    <col min="10053" max="10053" width="9" style="461" bestFit="1" customWidth="1"/>
    <col min="10054" max="10066" width="7.7109375" style="461" customWidth="1"/>
    <col min="10067" max="10240" width="8.85546875" style="461"/>
    <col min="10241" max="10241" width="38.42578125" style="461" customWidth="1"/>
    <col min="10242" max="10242" width="12.85546875" style="461" customWidth="1"/>
    <col min="10243" max="10298" width="7.7109375" style="461" customWidth="1"/>
    <col min="10299" max="10299" width="13" style="461" customWidth="1"/>
    <col min="10300" max="10300" width="8.42578125" style="461" customWidth="1"/>
    <col min="10301" max="10301" width="8.140625" style="461" customWidth="1"/>
    <col min="10302" max="10307" width="8.140625" style="461" bestFit="1" customWidth="1"/>
    <col min="10308" max="10308" width="7.42578125" style="461" bestFit="1" customWidth="1"/>
    <col min="10309" max="10309" width="9" style="461" bestFit="1" customWidth="1"/>
    <col min="10310" max="10322" width="7.7109375" style="461" customWidth="1"/>
    <col min="10323" max="10496" width="8.85546875" style="461"/>
    <col min="10497" max="10497" width="38.42578125" style="461" customWidth="1"/>
    <col min="10498" max="10498" width="12.85546875" style="461" customWidth="1"/>
    <col min="10499" max="10554" width="7.7109375" style="461" customWidth="1"/>
    <col min="10555" max="10555" width="13" style="461" customWidth="1"/>
    <col min="10556" max="10556" width="8.42578125" style="461" customWidth="1"/>
    <col min="10557" max="10557" width="8.140625" style="461" customWidth="1"/>
    <col min="10558" max="10563" width="8.140625" style="461" bestFit="1" customWidth="1"/>
    <col min="10564" max="10564" width="7.42578125" style="461" bestFit="1" customWidth="1"/>
    <col min="10565" max="10565" width="9" style="461" bestFit="1" customWidth="1"/>
    <col min="10566" max="10578" width="7.7109375" style="461" customWidth="1"/>
    <col min="10579" max="10752" width="8.85546875" style="461"/>
    <col min="10753" max="10753" width="38.42578125" style="461" customWidth="1"/>
    <col min="10754" max="10754" width="12.85546875" style="461" customWidth="1"/>
    <col min="10755" max="10810" width="7.7109375" style="461" customWidth="1"/>
    <col min="10811" max="10811" width="13" style="461" customWidth="1"/>
    <col min="10812" max="10812" width="8.42578125" style="461" customWidth="1"/>
    <col min="10813" max="10813" width="8.140625" style="461" customWidth="1"/>
    <col min="10814" max="10819" width="8.140625" style="461" bestFit="1" customWidth="1"/>
    <col min="10820" max="10820" width="7.42578125" style="461" bestFit="1" customWidth="1"/>
    <col min="10821" max="10821" width="9" style="461" bestFit="1" customWidth="1"/>
    <col min="10822" max="10834" width="7.7109375" style="461" customWidth="1"/>
    <col min="10835" max="11008" width="8.85546875" style="461"/>
    <col min="11009" max="11009" width="38.42578125" style="461" customWidth="1"/>
    <col min="11010" max="11010" width="12.85546875" style="461" customWidth="1"/>
    <col min="11011" max="11066" width="7.7109375" style="461" customWidth="1"/>
    <col min="11067" max="11067" width="13" style="461" customWidth="1"/>
    <col min="11068" max="11068" width="8.42578125" style="461" customWidth="1"/>
    <col min="11069" max="11069" width="8.140625" style="461" customWidth="1"/>
    <col min="11070" max="11075" width="8.140625" style="461" bestFit="1" customWidth="1"/>
    <col min="11076" max="11076" width="7.42578125" style="461" bestFit="1" customWidth="1"/>
    <col min="11077" max="11077" width="9" style="461" bestFit="1" customWidth="1"/>
    <col min="11078" max="11090" width="7.7109375" style="461" customWidth="1"/>
    <col min="11091" max="11264" width="8.85546875" style="461"/>
    <col min="11265" max="11265" width="38.42578125" style="461" customWidth="1"/>
    <col min="11266" max="11266" width="12.85546875" style="461" customWidth="1"/>
    <col min="11267" max="11322" width="7.7109375" style="461" customWidth="1"/>
    <col min="11323" max="11323" width="13" style="461" customWidth="1"/>
    <col min="11324" max="11324" width="8.42578125" style="461" customWidth="1"/>
    <col min="11325" max="11325" width="8.140625" style="461" customWidth="1"/>
    <col min="11326" max="11331" width="8.140625" style="461" bestFit="1" customWidth="1"/>
    <col min="11332" max="11332" width="7.42578125" style="461" bestFit="1" customWidth="1"/>
    <col min="11333" max="11333" width="9" style="461" bestFit="1" customWidth="1"/>
    <col min="11334" max="11346" width="7.7109375" style="461" customWidth="1"/>
    <col min="11347" max="11520" width="8.85546875" style="461"/>
    <col min="11521" max="11521" width="38.42578125" style="461" customWidth="1"/>
    <col min="11522" max="11522" width="12.85546875" style="461" customWidth="1"/>
    <col min="11523" max="11578" width="7.7109375" style="461" customWidth="1"/>
    <col min="11579" max="11579" width="13" style="461" customWidth="1"/>
    <col min="11580" max="11580" width="8.42578125" style="461" customWidth="1"/>
    <col min="11581" max="11581" width="8.140625" style="461" customWidth="1"/>
    <col min="11582" max="11587" width="8.140625" style="461" bestFit="1" customWidth="1"/>
    <col min="11588" max="11588" width="7.42578125" style="461" bestFit="1" customWidth="1"/>
    <col min="11589" max="11589" width="9" style="461" bestFit="1" customWidth="1"/>
    <col min="11590" max="11602" width="7.7109375" style="461" customWidth="1"/>
    <col min="11603" max="11776" width="8.85546875" style="461"/>
    <col min="11777" max="11777" width="38.42578125" style="461" customWidth="1"/>
    <col min="11778" max="11778" width="12.85546875" style="461" customWidth="1"/>
    <col min="11779" max="11834" width="7.7109375" style="461" customWidth="1"/>
    <col min="11835" max="11835" width="13" style="461" customWidth="1"/>
    <col min="11836" max="11836" width="8.42578125" style="461" customWidth="1"/>
    <col min="11837" max="11837" width="8.140625" style="461" customWidth="1"/>
    <col min="11838" max="11843" width="8.140625" style="461" bestFit="1" customWidth="1"/>
    <col min="11844" max="11844" width="7.42578125" style="461" bestFit="1" customWidth="1"/>
    <col min="11845" max="11845" width="9" style="461" bestFit="1" customWidth="1"/>
    <col min="11846" max="11858" width="7.7109375" style="461" customWidth="1"/>
    <col min="11859" max="12032" width="8.85546875" style="461"/>
    <col min="12033" max="12033" width="38.42578125" style="461" customWidth="1"/>
    <col min="12034" max="12034" width="12.85546875" style="461" customWidth="1"/>
    <col min="12035" max="12090" width="7.7109375" style="461" customWidth="1"/>
    <col min="12091" max="12091" width="13" style="461" customWidth="1"/>
    <col min="12092" max="12092" width="8.42578125" style="461" customWidth="1"/>
    <col min="12093" max="12093" width="8.140625" style="461" customWidth="1"/>
    <col min="12094" max="12099" width="8.140625" style="461" bestFit="1" customWidth="1"/>
    <col min="12100" max="12100" width="7.42578125" style="461" bestFit="1" customWidth="1"/>
    <col min="12101" max="12101" width="9" style="461" bestFit="1" customWidth="1"/>
    <col min="12102" max="12114" width="7.7109375" style="461" customWidth="1"/>
    <col min="12115" max="12288" width="8.85546875" style="461"/>
    <col min="12289" max="12289" width="38.42578125" style="461" customWidth="1"/>
    <col min="12290" max="12290" width="12.85546875" style="461" customWidth="1"/>
    <col min="12291" max="12346" width="7.7109375" style="461" customWidth="1"/>
    <col min="12347" max="12347" width="13" style="461" customWidth="1"/>
    <col min="12348" max="12348" width="8.42578125" style="461" customWidth="1"/>
    <col min="12349" max="12349" width="8.140625" style="461" customWidth="1"/>
    <col min="12350" max="12355" width="8.140625" style="461" bestFit="1" customWidth="1"/>
    <col min="12356" max="12356" width="7.42578125" style="461" bestFit="1" customWidth="1"/>
    <col min="12357" max="12357" width="9" style="461" bestFit="1" customWidth="1"/>
    <col min="12358" max="12370" width="7.7109375" style="461" customWidth="1"/>
    <col min="12371" max="12544" width="8.85546875" style="461"/>
    <col min="12545" max="12545" width="38.42578125" style="461" customWidth="1"/>
    <col min="12546" max="12546" width="12.85546875" style="461" customWidth="1"/>
    <col min="12547" max="12602" width="7.7109375" style="461" customWidth="1"/>
    <col min="12603" max="12603" width="13" style="461" customWidth="1"/>
    <col min="12604" max="12604" width="8.42578125" style="461" customWidth="1"/>
    <col min="12605" max="12605" width="8.140625" style="461" customWidth="1"/>
    <col min="12606" max="12611" width="8.140625" style="461" bestFit="1" customWidth="1"/>
    <col min="12612" max="12612" width="7.42578125" style="461" bestFit="1" customWidth="1"/>
    <col min="12613" max="12613" width="9" style="461" bestFit="1" customWidth="1"/>
    <col min="12614" max="12626" width="7.7109375" style="461" customWidth="1"/>
    <col min="12627" max="12800" width="8.85546875" style="461"/>
    <col min="12801" max="12801" width="38.42578125" style="461" customWidth="1"/>
    <col min="12802" max="12802" width="12.85546875" style="461" customWidth="1"/>
    <col min="12803" max="12858" width="7.7109375" style="461" customWidth="1"/>
    <col min="12859" max="12859" width="13" style="461" customWidth="1"/>
    <col min="12860" max="12860" width="8.42578125" style="461" customWidth="1"/>
    <col min="12861" max="12861" width="8.140625" style="461" customWidth="1"/>
    <col min="12862" max="12867" width="8.140625" style="461" bestFit="1" customWidth="1"/>
    <col min="12868" max="12868" width="7.42578125" style="461" bestFit="1" customWidth="1"/>
    <col min="12869" max="12869" width="9" style="461" bestFit="1" customWidth="1"/>
    <col min="12870" max="12882" width="7.7109375" style="461" customWidth="1"/>
    <col min="12883" max="13056" width="8.85546875" style="461"/>
    <col min="13057" max="13057" width="38.42578125" style="461" customWidth="1"/>
    <col min="13058" max="13058" width="12.85546875" style="461" customWidth="1"/>
    <col min="13059" max="13114" width="7.7109375" style="461" customWidth="1"/>
    <col min="13115" max="13115" width="13" style="461" customWidth="1"/>
    <col min="13116" max="13116" width="8.42578125" style="461" customWidth="1"/>
    <col min="13117" max="13117" width="8.140625" style="461" customWidth="1"/>
    <col min="13118" max="13123" width="8.140625" style="461" bestFit="1" customWidth="1"/>
    <col min="13124" max="13124" width="7.42578125" style="461" bestFit="1" customWidth="1"/>
    <col min="13125" max="13125" width="9" style="461" bestFit="1" customWidth="1"/>
    <col min="13126" max="13138" width="7.7109375" style="461" customWidth="1"/>
    <col min="13139" max="13312" width="8.85546875" style="461"/>
    <col min="13313" max="13313" width="38.42578125" style="461" customWidth="1"/>
    <col min="13314" max="13314" width="12.85546875" style="461" customWidth="1"/>
    <col min="13315" max="13370" width="7.7109375" style="461" customWidth="1"/>
    <col min="13371" max="13371" width="13" style="461" customWidth="1"/>
    <col min="13372" max="13372" width="8.42578125" style="461" customWidth="1"/>
    <col min="13373" max="13373" width="8.140625" style="461" customWidth="1"/>
    <col min="13374" max="13379" width="8.140625" style="461" bestFit="1" customWidth="1"/>
    <col min="13380" max="13380" width="7.42578125" style="461" bestFit="1" customWidth="1"/>
    <col min="13381" max="13381" width="9" style="461" bestFit="1" customWidth="1"/>
    <col min="13382" max="13394" width="7.7109375" style="461" customWidth="1"/>
    <col min="13395" max="13568" width="8.85546875" style="461"/>
    <col min="13569" max="13569" width="38.42578125" style="461" customWidth="1"/>
    <col min="13570" max="13570" width="12.85546875" style="461" customWidth="1"/>
    <col min="13571" max="13626" width="7.7109375" style="461" customWidth="1"/>
    <col min="13627" max="13627" width="13" style="461" customWidth="1"/>
    <col min="13628" max="13628" width="8.42578125" style="461" customWidth="1"/>
    <col min="13629" max="13629" width="8.140625" style="461" customWidth="1"/>
    <col min="13630" max="13635" width="8.140625" style="461" bestFit="1" customWidth="1"/>
    <col min="13636" max="13636" width="7.42578125" style="461" bestFit="1" customWidth="1"/>
    <col min="13637" max="13637" width="9" style="461" bestFit="1" customWidth="1"/>
    <col min="13638" max="13650" width="7.7109375" style="461" customWidth="1"/>
    <col min="13651" max="13824" width="8.85546875" style="461"/>
    <col min="13825" max="13825" width="38.42578125" style="461" customWidth="1"/>
    <col min="13826" max="13826" width="12.85546875" style="461" customWidth="1"/>
    <col min="13827" max="13882" width="7.7109375" style="461" customWidth="1"/>
    <col min="13883" max="13883" width="13" style="461" customWidth="1"/>
    <col min="13884" max="13884" width="8.42578125" style="461" customWidth="1"/>
    <col min="13885" max="13885" width="8.140625" style="461" customWidth="1"/>
    <col min="13886" max="13891" width="8.140625" style="461" bestFit="1" customWidth="1"/>
    <col min="13892" max="13892" width="7.42578125" style="461" bestFit="1" customWidth="1"/>
    <col min="13893" max="13893" width="9" style="461" bestFit="1" customWidth="1"/>
    <col min="13894" max="13906" width="7.7109375" style="461" customWidth="1"/>
    <col min="13907" max="14080" width="8.85546875" style="461"/>
    <col min="14081" max="14081" width="38.42578125" style="461" customWidth="1"/>
    <col min="14082" max="14082" width="12.85546875" style="461" customWidth="1"/>
    <col min="14083" max="14138" width="7.7109375" style="461" customWidth="1"/>
    <col min="14139" max="14139" width="13" style="461" customWidth="1"/>
    <col min="14140" max="14140" width="8.42578125" style="461" customWidth="1"/>
    <col min="14141" max="14141" width="8.140625" style="461" customWidth="1"/>
    <col min="14142" max="14147" width="8.140625" style="461" bestFit="1" customWidth="1"/>
    <col min="14148" max="14148" width="7.42578125" style="461" bestFit="1" customWidth="1"/>
    <col min="14149" max="14149" width="9" style="461" bestFit="1" customWidth="1"/>
    <col min="14150" max="14162" width="7.7109375" style="461" customWidth="1"/>
    <col min="14163" max="14336" width="8.85546875" style="461"/>
    <col min="14337" max="14337" width="38.42578125" style="461" customWidth="1"/>
    <col min="14338" max="14338" width="12.85546875" style="461" customWidth="1"/>
    <col min="14339" max="14394" width="7.7109375" style="461" customWidth="1"/>
    <col min="14395" max="14395" width="13" style="461" customWidth="1"/>
    <col min="14396" max="14396" width="8.42578125" style="461" customWidth="1"/>
    <col min="14397" max="14397" width="8.140625" style="461" customWidth="1"/>
    <col min="14398" max="14403" width="8.140625" style="461" bestFit="1" customWidth="1"/>
    <col min="14404" max="14404" width="7.42578125" style="461" bestFit="1" customWidth="1"/>
    <col min="14405" max="14405" width="9" style="461" bestFit="1" customWidth="1"/>
    <col min="14406" max="14418" width="7.7109375" style="461" customWidth="1"/>
    <col min="14419" max="14592" width="8.85546875" style="461"/>
    <col min="14593" max="14593" width="38.42578125" style="461" customWidth="1"/>
    <col min="14594" max="14594" width="12.85546875" style="461" customWidth="1"/>
    <col min="14595" max="14650" width="7.7109375" style="461" customWidth="1"/>
    <col min="14651" max="14651" width="13" style="461" customWidth="1"/>
    <col min="14652" max="14652" width="8.42578125" style="461" customWidth="1"/>
    <col min="14653" max="14653" width="8.140625" style="461" customWidth="1"/>
    <col min="14654" max="14659" width="8.140625" style="461" bestFit="1" customWidth="1"/>
    <col min="14660" max="14660" width="7.42578125" style="461" bestFit="1" customWidth="1"/>
    <col min="14661" max="14661" width="9" style="461" bestFit="1" customWidth="1"/>
    <col min="14662" max="14674" width="7.7109375" style="461" customWidth="1"/>
    <col min="14675" max="14848" width="8.85546875" style="461"/>
    <col min="14849" max="14849" width="38.42578125" style="461" customWidth="1"/>
    <col min="14850" max="14850" width="12.85546875" style="461" customWidth="1"/>
    <col min="14851" max="14906" width="7.7109375" style="461" customWidth="1"/>
    <col min="14907" max="14907" width="13" style="461" customWidth="1"/>
    <col min="14908" max="14908" width="8.42578125" style="461" customWidth="1"/>
    <col min="14909" max="14909" width="8.140625" style="461" customWidth="1"/>
    <col min="14910" max="14915" width="8.140625" style="461" bestFit="1" customWidth="1"/>
    <col min="14916" max="14916" width="7.42578125" style="461" bestFit="1" customWidth="1"/>
    <col min="14917" max="14917" width="9" style="461" bestFit="1" customWidth="1"/>
    <col min="14918" max="14930" width="7.7109375" style="461" customWidth="1"/>
    <col min="14931" max="15104" width="8.85546875" style="461"/>
    <col min="15105" max="15105" width="38.42578125" style="461" customWidth="1"/>
    <col min="15106" max="15106" width="12.85546875" style="461" customWidth="1"/>
    <col min="15107" max="15162" width="7.7109375" style="461" customWidth="1"/>
    <col min="15163" max="15163" width="13" style="461" customWidth="1"/>
    <col min="15164" max="15164" width="8.42578125" style="461" customWidth="1"/>
    <col min="15165" max="15165" width="8.140625" style="461" customWidth="1"/>
    <col min="15166" max="15171" width="8.140625" style="461" bestFit="1" customWidth="1"/>
    <col min="15172" max="15172" width="7.42578125" style="461" bestFit="1" customWidth="1"/>
    <col min="15173" max="15173" width="9" style="461" bestFit="1" customWidth="1"/>
    <col min="15174" max="15186" width="7.7109375" style="461" customWidth="1"/>
    <col min="15187" max="15360" width="8.85546875" style="461"/>
    <col min="15361" max="15361" width="38.42578125" style="461" customWidth="1"/>
    <col min="15362" max="15362" width="12.85546875" style="461" customWidth="1"/>
    <col min="15363" max="15418" width="7.7109375" style="461" customWidth="1"/>
    <col min="15419" max="15419" width="13" style="461" customWidth="1"/>
    <col min="15420" max="15420" width="8.42578125" style="461" customWidth="1"/>
    <col min="15421" max="15421" width="8.140625" style="461" customWidth="1"/>
    <col min="15422" max="15427" width="8.140625" style="461" bestFit="1" customWidth="1"/>
    <col min="15428" max="15428" width="7.42578125" style="461" bestFit="1" customWidth="1"/>
    <col min="15429" max="15429" width="9" style="461" bestFit="1" customWidth="1"/>
    <col min="15430" max="15442" width="7.7109375" style="461" customWidth="1"/>
    <col min="15443" max="15616" width="8.85546875" style="461"/>
    <col min="15617" max="15617" width="38.42578125" style="461" customWidth="1"/>
    <col min="15618" max="15618" width="12.85546875" style="461" customWidth="1"/>
    <col min="15619" max="15674" width="7.7109375" style="461" customWidth="1"/>
    <col min="15675" max="15675" width="13" style="461" customWidth="1"/>
    <col min="15676" max="15676" width="8.42578125" style="461" customWidth="1"/>
    <col min="15677" max="15677" width="8.140625" style="461" customWidth="1"/>
    <col min="15678" max="15683" width="8.140625" style="461" bestFit="1" customWidth="1"/>
    <col min="15684" max="15684" width="7.42578125" style="461" bestFit="1" customWidth="1"/>
    <col min="15685" max="15685" width="9" style="461" bestFit="1" customWidth="1"/>
    <col min="15686" max="15698" width="7.7109375" style="461" customWidth="1"/>
    <col min="15699" max="15872" width="8.85546875" style="461"/>
    <col min="15873" max="15873" width="38.42578125" style="461" customWidth="1"/>
    <col min="15874" max="15874" width="12.85546875" style="461" customWidth="1"/>
    <col min="15875" max="15930" width="7.7109375" style="461" customWidth="1"/>
    <col min="15931" max="15931" width="13" style="461" customWidth="1"/>
    <col min="15932" max="15932" width="8.42578125" style="461" customWidth="1"/>
    <col min="15933" max="15933" width="8.140625" style="461" customWidth="1"/>
    <col min="15934" max="15939" width="8.140625" style="461" bestFit="1" customWidth="1"/>
    <col min="15940" max="15940" width="7.42578125" style="461" bestFit="1" customWidth="1"/>
    <col min="15941" max="15941" width="9" style="461" bestFit="1" customWidth="1"/>
    <col min="15942" max="15954" width="7.7109375" style="461" customWidth="1"/>
    <col min="15955" max="16128" width="8.85546875" style="461"/>
    <col min="16129" max="16129" width="38.42578125" style="461" customWidth="1"/>
    <col min="16130" max="16130" width="12.85546875" style="461" customWidth="1"/>
    <col min="16131" max="16186" width="7.7109375" style="461" customWidth="1"/>
    <col min="16187" max="16187" width="13" style="461" customWidth="1"/>
    <col min="16188" max="16188" width="8.42578125" style="461" customWidth="1"/>
    <col min="16189" max="16189" width="8.140625" style="461" customWidth="1"/>
    <col min="16190" max="16195" width="8.140625" style="461" bestFit="1" customWidth="1"/>
    <col min="16196" max="16196" width="7.42578125" style="461" bestFit="1" customWidth="1"/>
    <col min="16197" max="16197" width="9" style="461" bestFit="1" customWidth="1"/>
    <col min="16198" max="16210" width="7.7109375" style="461" customWidth="1"/>
    <col min="16211" max="16384" width="8.85546875" style="461"/>
  </cols>
  <sheetData>
    <row r="1" spans="1:83" ht="18">
      <c r="A1" s="459" t="s">
        <v>204</v>
      </c>
      <c r="B1" s="460"/>
    </row>
    <row r="2" spans="1:83" ht="15.75">
      <c r="A2" s="462" t="s">
        <v>205</v>
      </c>
      <c r="B2" s="463"/>
    </row>
    <row r="3" spans="1:83" ht="15.75" thickBot="1">
      <c r="A3" s="464" t="s">
        <v>206</v>
      </c>
      <c r="B3" s="465"/>
    </row>
    <row r="6" spans="1:83">
      <c r="BI6" s="467" t="s">
        <v>207</v>
      </c>
      <c r="BJ6" s="467" t="s">
        <v>207</v>
      </c>
      <c r="BK6" s="467" t="s">
        <v>207</v>
      </c>
      <c r="BL6" s="467" t="s">
        <v>207</v>
      </c>
      <c r="BM6" s="468" t="s">
        <v>203</v>
      </c>
      <c r="BN6" s="468" t="s">
        <v>203</v>
      </c>
      <c r="BO6" s="468" t="s">
        <v>203</v>
      </c>
      <c r="BP6" s="468" t="s">
        <v>203</v>
      </c>
      <c r="BQ6" s="469" t="s">
        <v>208</v>
      </c>
      <c r="BR6" s="469" t="s">
        <v>208</v>
      </c>
      <c r="BS6" s="469" t="s">
        <v>208</v>
      </c>
      <c r="BT6" s="469" t="s">
        <v>208</v>
      </c>
      <c r="BU6" s="470" t="s">
        <v>209</v>
      </c>
      <c r="BV6" s="470" t="s">
        <v>209</v>
      </c>
      <c r="BW6" s="470" t="s">
        <v>209</v>
      </c>
      <c r="BX6" s="470" t="s">
        <v>209</v>
      </c>
      <c r="BY6" s="471" t="s">
        <v>210</v>
      </c>
      <c r="BZ6" s="471" t="s">
        <v>210</v>
      </c>
      <c r="CA6" s="471" t="s">
        <v>210</v>
      </c>
      <c r="CB6" s="471" t="s">
        <v>210</v>
      </c>
    </row>
    <row r="7" spans="1:83" s="466" customFormat="1">
      <c r="B7" s="466" t="s">
        <v>211</v>
      </c>
      <c r="C7" s="472" t="s">
        <v>212</v>
      </c>
      <c r="D7" s="472" t="s">
        <v>213</v>
      </c>
      <c r="E7" s="472" t="s">
        <v>214</v>
      </c>
      <c r="F7" s="472" t="s">
        <v>215</v>
      </c>
      <c r="G7" s="472" t="s">
        <v>216</v>
      </c>
      <c r="H7" s="472" t="s">
        <v>217</v>
      </c>
      <c r="I7" s="472" t="s">
        <v>218</v>
      </c>
      <c r="J7" s="472" t="s">
        <v>219</v>
      </c>
      <c r="K7" s="472" t="s">
        <v>220</v>
      </c>
      <c r="L7" s="472" t="s">
        <v>221</v>
      </c>
      <c r="M7" s="472" t="s">
        <v>222</v>
      </c>
      <c r="N7" s="472" t="s">
        <v>223</v>
      </c>
      <c r="O7" s="472" t="s">
        <v>224</v>
      </c>
      <c r="P7" s="472" t="s">
        <v>225</v>
      </c>
      <c r="Q7" s="472" t="s">
        <v>226</v>
      </c>
      <c r="R7" s="472" t="s">
        <v>227</v>
      </c>
      <c r="S7" s="472" t="s">
        <v>228</v>
      </c>
      <c r="T7" s="472" t="s">
        <v>229</v>
      </c>
      <c r="U7" s="472" t="s">
        <v>230</v>
      </c>
      <c r="V7" s="472" t="s">
        <v>231</v>
      </c>
      <c r="W7" s="472" t="s">
        <v>232</v>
      </c>
      <c r="X7" s="472" t="s">
        <v>233</v>
      </c>
      <c r="Y7" s="472" t="s">
        <v>234</v>
      </c>
      <c r="Z7" s="472" t="s">
        <v>235</v>
      </c>
      <c r="AA7" s="472" t="s">
        <v>236</v>
      </c>
      <c r="AB7" s="472" t="s">
        <v>237</v>
      </c>
      <c r="AC7" s="472" t="s">
        <v>238</v>
      </c>
      <c r="AD7" s="472" t="s">
        <v>239</v>
      </c>
      <c r="AE7" s="472" t="s">
        <v>240</v>
      </c>
      <c r="AF7" s="472" t="s">
        <v>241</v>
      </c>
      <c r="AG7" s="472" t="s">
        <v>242</v>
      </c>
      <c r="AH7" s="472" t="s">
        <v>243</v>
      </c>
      <c r="AI7" s="472" t="s">
        <v>244</v>
      </c>
      <c r="AJ7" s="472" t="s">
        <v>245</v>
      </c>
      <c r="AK7" s="472" t="s">
        <v>246</v>
      </c>
      <c r="AL7" s="472" t="s">
        <v>247</v>
      </c>
      <c r="AM7" s="472" t="s">
        <v>248</v>
      </c>
      <c r="AN7" s="472" t="s">
        <v>249</v>
      </c>
      <c r="AO7" s="472" t="s">
        <v>250</v>
      </c>
      <c r="AP7" s="472" t="s">
        <v>251</v>
      </c>
      <c r="AQ7" s="472" t="s">
        <v>252</v>
      </c>
      <c r="AR7" s="472" t="s">
        <v>253</v>
      </c>
      <c r="AS7" s="472" t="s">
        <v>254</v>
      </c>
      <c r="AT7" s="472" t="s">
        <v>255</v>
      </c>
      <c r="AU7" s="466" t="s">
        <v>256</v>
      </c>
      <c r="AV7" s="466" t="s">
        <v>257</v>
      </c>
      <c r="AW7" s="466" t="s">
        <v>258</v>
      </c>
      <c r="AX7" s="466" t="s">
        <v>259</v>
      </c>
      <c r="AY7" s="466" t="s">
        <v>260</v>
      </c>
      <c r="AZ7" s="466" t="s">
        <v>261</v>
      </c>
      <c r="BA7" s="466" t="s">
        <v>262</v>
      </c>
      <c r="BB7" s="466" t="s">
        <v>263</v>
      </c>
      <c r="BC7" s="466" t="s">
        <v>264</v>
      </c>
      <c r="BD7" s="466" t="s">
        <v>265</v>
      </c>
      <c r="BE7" s="466" t="s">
        <v>266</v>
      </c>
      <c r="BF7" s="466" t="s">
        <v>267</v>
      </c>
      <c r="BG7" s="466" t="s">
        <v>268</v>
      </c>
      <c r="BH7" s="466" t="s">
        <v>269</v>
      </c>
      <c r="BI7" s="466" t="s">
        <v>270</v>
      </c>
      <c r="BJ7" s="466" t="s">
        <v>271</v>
      </c>
      <c r="BK7" s="466" t="s">
        <v>272</v>
      </c>
      <c r="BL7" s="466" t="s">
        <v>273</v>
      </c>
      <c r="BM7" s="466" t="s">
        <v>274</v>
      </c>
      <c r="BN7" s="466" t="s">
        <v>275</v>
      </c>
      <c r="BO7" s="466" t="s">
        <v>276</v>
      </c>
      <c r="BP7" s="466" t="s">
        <v>277</v>
      </c>
      <c r="BQ7" s="466" t="s">
        <v>278</v>
      </c>
      <c r="BR7" s="466" t="s">
        <v>279</v>
      </c>
      <c r="BS7" s="466" t="s">
        <v>280</v>
      </c>
      <c r="BT7" s="466" t="s">
        <v>281</v>
      </c>
      <c r="BU7" s="466" t="s">
        <v>282</v>
      </c>
      <c r="BV7" s="466" t="s">
        <v>283</v>
      </c>
      <c r="BW7" s="466" t="s">
        <v>284</v>
      </c>
      <c r="BX7" s="466" t="s">
        <v>285</v>
      </c>
      <c r="BY7" s="466" t="s">
        <v>286</v>
      </c>
      <c r="BZ7" s="466" t="s">
        <v>287</v>
      </c>
      <c r="CA7" s="466" t="s">
        <v>288</v>
      </c>
      <c r="CB7" s="466" t="s">
        <v>289</v>
      </c>
      <c r="CC7" s="466" t="s">
        <v>290</v>
      </c>
      <c r="CD7" s="466" t="s">
        <v>291</v>
      </c>
      <c r="CE7" s="466" t="s">
        <v>292</v>
      </c>
    </row>
    <row r="8" spans="1:83">
      <c r="A8" s="466" t="s">
        <v>293</v>
      </c>
      <c r="B8" s="466" t="s">
        <v>294</v>
      </c>
      <c r="C8" s="473">
        <v>2.0339999999999998</v>
      </c>
      <c r="D8" s="473">
        <v>2.0590000000000002</v>
      </c>
      <c r="E8" s="473">
        <v>2.0640000000000001</v>
      </c>
      <c r="F8" s="473">
        <v>2.0870000000000002</v>
      </c>
      <c r="G8" s="473">
        <v>2.1040000000000001</v>
      </c>
      <c r="H8" s="473">
        <v>2.1150000000000002</v>
      </c>
      <c r="I8" s="473">
        <v>2.15</v>
      </c>
      <c r="J8" s="473">
        <v>2.169</v>
      </c>
      <c r="K8" s="473">
        <v>2.1880000000000002</v>
      </c>
      <c r="L8" s="473">
        <v>2.2130000000000001</v>
      </c>
      <c r="M8" s="473">
        <v>2.234</v>
      </c>
      <c r="N8" s="473">
        <v>2.2200000000000002</v>
      </c>
      <c r="O8" s="473">
        <v>2.234</v>
      </c>
      <c r="P8" s="473">
        <v>2.2589999999999999</v>
      </c>
      <c r="Q8" s="473">
        <v>2.2749999999999999</v>
      </c>
      <c r="R8" s="473">
        <v>2.3010000000000002</v>
      </c>
      <c r="S8" s="473">
        <v>2.3220000000000001</v>
      </c>
      <c r="T8" s="473">
        <v>2.363</v>
      </c>
      <c r="U8" s="473">
        <v>2.4039999999999999</v>
      </c>
      <c r="V8" s="473">
        <v>2.35</v>
      </c>
      <c r="W8" s="473">
        <v>2.3420000000000001</v>
      </c>
      <c r="X8" s="473">
        <v>2.347</v>
      </c>
      <c r="Y8" s="473">
        <v>2.367</v>
      </c>
      <c r="Z8" s="473">
        <v>2.38</v>
      </c>
      <c r="AA8" s="473">
        <v>2.3809999999999998</v>
      </c>
      <c r="AB8" s="473">
        <v>2.3839999999999999</v>
      </c>
      <c r="AC8" s="473">
        <v>2.3980000000000001</v>
      </c>
      <c r="AD8" s="473">
        <v>2.42</v>
      </c>
      <c r="AE8" s="473">
        <v>2.4340000000000002</v>
      </c>
      <c r="AF8" s="473">
        <v>2.4769999999999999</v>
      </c>
      <c r="AG8" s="473">
        <v>2.488</v>
      </c>
      <c r="AH8" s="473">
        <v>2.4950000000000001</v>
      </c>
      <c r="AI8" s="473">
        <v>2.5150000000000001</v>
      </c>
      <c r="AJ8" s="473">
        <v>2.5190000000000001</v>
      </c>
      <c r="AK8" s="473">
        <v>2.5289999999999999</v>
      </c>
      <c r="AL8" s="473">
        <v>2.5470000000000002</v>
      </c>
      <c r="AM8" s="473">
        <v>2.5569999999999999</v>
      </c>
      <c r="AN8" s="473">
        <v>2.5539999999999998</v>
      </c>
      <c r="AO8" s="473">
        <v>2.573</v>
      </c>
      <c r="AP8" s="473">
        <v>2.5870000000000002</v>
      </c>
      <c r="AQ8" s="473">
        <v>2.5979999999999999</v>
      </c>
      <c r="AR8" s="473">
        <v>2.6080000000000001</v>
      </c>
      <c r="AS8" s="473">
        <v>2.6139999999999999</v>
      </c>
      <c r="AT8" s="473">
        <v>2.6139999999999999</v>
      </c>
      <c r="AU8" s="461">
        <v>2.613</v>
      </c>
      <c r="AV8" s="461">
        <v>2.6230000000000002</v>
      </c>
      <c r="AW8" s="461">
        <v>2.6190000000000002</v>
      </c>
      <c r="AX8" s="461">
        <v>2.6240000000000001</v>
      </c>
      <c r="AY8" s="461">
        <v>2.6240000000000001</v>
      </c>
      <c r="AZ8" s="461">
        <v>2.6429999999999998</v>
      </c>
      <c r="BA8" s="461">
        <v>2.6640000000000001</v>
      </c>
      <c r="BB8" s="461">
        <v>2.6739999999999999</v>
      </c>
      <c r="BC8" s="461">
        <v>2.6949999999999998</v>
      </c>
      <c r="BD8" s="461">
        <v>2.694</v>
      </c>
      <c r="BE8" s="461">
        <v>2.706</v>
      </c>
      <c r="BF8" s="461">
        <v>2.714</v>
      </c>
      <c r="BG8" s="461">
        <v>2.746</v>
      </c>
      <c r="BH8" s="461">
        <v>2.7650000000000001</v>
      </c>
      <c r="BI8" s="461">
        <v>2.78</v>
      </c>
      <c r="BJ8" s="461">
        <v>2.8050000000000002</v>
      </c>
      <c r="BK8" s="461">
        <v>2.8250000000000002</v>
      </c>
      <c r="BL8" s="461">
        <v>2.8380000000000001</v>
      </c>
      <c r="BM8" s="461">
        <v>2.8479999999999999</v>
      </c>
      <c r="BN8" s="461">
        <v>2.8690000000000002</v>
      </c>
      <c r="BO8" s="461">
        <v>2.895</v>
      </c>
      <c r="BP8" s="461">
        <v>2.91</v>
      </c>
      <c r="BQ8" s="461">
        <v>2.9239999999999999</v>
      </c>
      <c r="BR8" s="461">
        <v>2.94</v>
      </c>
      <c r="BS8" s="461">
        <v>2.96</v>
      </c>
      <c r="BT8" s="461">
        <v>2.9790000000000001</v>
      </c>
      <c r="BU8" s="461">
        <v>2.9990000000000001</v>
      </c>
      <c r="BV8" s="461">
        <v>3.0169999999999999</v>
      </c>
      <c r="BW8" s="461">
        <v>3.0339999999999998</v>
      </c>
      <c r="BX8" s="461">
        <v>3.0510000000000002</v>
      </c>
      <c r="BY8" s="461">
        <v>3.07</v>
      </c>
      <c r="BZ8" s="461">
        <v>3.0880000000000001</v>
      </c>
      <c r="CA8" s="461">
        <v>3.1059999999999999</v>
      </c>
      <c r="CB8" s="461">
        <v>3.1219999999999999</v>
      </c>
      <c r="CC8" s="461">
        <v>3.14</v>
      </c>
      <c r="CD8" s="461">
        <v>3.1579999999999999</v>
      </c>
    </row>
    <row r="9" spans="1:83">
      <c r="A9" s="466" t="s">
        <v>295</v>
      </c>
      <c r="B9" s="466" t="s">
        <v>296</v>
      </c>
      <c r="C9" s="473">
        <v>2.0339999999999998</v>
      </c>
      <c r="D9" s="473">
        <v>2.0590000000000002</v>
      </c>
      <c r="E9" s="473">
        <v>2.0640000000000001</v>
      </c>
      <c r="F9" s="473">
        <v>2.0870000000000002</v>
      </c>
      <c r="G9" s="473">
        <v>2.1040000000000001</v>
      </c>
      <c r="H9" s="473">
        <v>2.1150000000000002</v>
      </c>
      <c r="I9" s="473">
        <v>2.15</v>
      </c>
      <c r="J9" s="473">
        <v>2.169</v>
      </c>
      <c r="K9" s="473">
        <v>2.1880000000000002</v>
      </c>
      <c r="L9" s="473">
        <v>2.2130000000000001</v>
      </c>
      <c r="M9" s="473">
        <v>2.234</v>
      </c>
      <c r="N9" s="473">
        <v>2.2200000000000002</v>
      </c>
      <c r="O9" s="473">
        <v>2.234</v>
      </c>
      <c r="P9" s="473">
        <v>2.2589999999999999</v>
      </c>
      <c r="Q9" s="473">
        <v>2.2749999999999999</v>
      </c>
      <c r="R9" s="473">
        <v>2.3010000000000002</v>
      </c>
      <c r="S9" s="473">
        <v>2.3220000000000001</v>
      </c>
      <c r="T9" s="473">
        <v>2.363</v>
      </c>
      <c r="U9" s="473">
        <v>2.4039999999999999</v>
      </c>
      <c r="V9" s="473">
        <v>2.35</v>
      </c>
      <c r="W9" s="473">
        <v>2.3420000000000001</v>
      </c>
      <c r="X9" s="473">
        <v>2.347</v>
      </c>
      <c r="Y9" s="473">
        <v>2.367</v>
      </c>
      <c r="Z9" s="473">
        <v>2.38</v>
      </c>
      <c r="AA9" s="473">
        <v>2.3809999999999998</v>
      </c>
      <c r="AB9" s="473">
        <v>2.3839999999999999</v>
      </c>
      <c r="AC9" s="473">
        <v>2.3980000000000001</v>
      </c>
      <c r="AD9" s="473">
        <v>2.42</v>
      </c>
      <c r="AE9" s="473">
        <v>2.4340000000000002</v>
      </c>
      <c r="AF9" s="473">
        <v>2.4769999999999999</v>
      </c>
      <c r="AG9" s="473">
        <v>2.488</v>
      </c>
      <c r="AH9" s="473">
        <v>2.4950000000000001</v>
      </c>
      <c r="AI9" s="473">
        <v>2.5150000000000001</v>
      </c>
      <c r="AJ9" s="473">
        <v>2.5190000000000001</v>
      </c>
      <c r="AK9" s="473">
        <v>2.5289999999999999</v>
      </c>
      <c r="AL9" s="473">
        <v>2.5470000000000002</v>
      </c>
      <c r="AM9" s="473">
        <v>2.5569999999999999</v>
      </c>
      <c r="AN9" s="473">
        <v>2.5539999999999998</v>
      </c>
      <c r="AO9" s="473">
        <v>2.573</v>
      </c>
      <c r="AP9" s="473">
        <v>2.5870000000000002</v>
      </c>
      <c r="AQ9" s="473">
        <v>2.5979999999999999</v>
      </c>
      <c r="AR9" s="473">
        <v>2.6080000000000001</v>
      </c>
      <c r="AS9" s="473">
        <v>2.6139999999999999</v>
      </c>
      <c r="AT9" s="473">
        <v>2.6139999999999999</v>
      </c>
      <c r="AU9" s="461">
        <v>2.613</v>
      </c>
      <c r="AV9" s="461">
        <v>2.6230000000000002</v>
      </c>
      <c r="AW9" s="461">
        <v>2.6190000000000002</v>
      </c>
      <c r="AX9" s="461">
        <v>2.6240000000000001</v>
      </c>
      <c r="AY9" s="461">
        <v>2.6240000000000001</v>
      </c>
      <c r="AZ9" s="461">
        <v>2.6429999999999998</v>
      </c>
      <c r="BA9" s="461">
        <v>2.6640000000000001</v>
      </c>
      <c r="BB9" s="461">
        <v>2.6739999999999999</v>
      </c>
      <c r="BC9" s="461">
        <v>2.6949999999999998</v>
      </c>
      <c r="BD9" s="461">
        <v>2.694</v>
      </c>
      <c r="BE9" s="461">
        <v>2.706</v>
      </c>
      <c r="BF9" s="461">
        <v>2.714</v>
      </c>
      <c r="BG9" s="461">
        <v>2.746</v>
      </c>
      <c r="BH9" s="461">
        <v>2.7650000000000001</v>
      </c>
      <c r="BI9" s="461">
        <v>2.78</v>
      </c>
      <c r="BJ9" s="461">
        <v>2.8010000000000002</v>
      </c>
      <c r="BK9" s="461">
        <v>2.8170000000000002</v>
      </c>
      <c r="BL9" s="461">
        <v>2.8260000000000001</v>
      </c>
      <c r="BM9" s="461">
        <v>2.8330000000000002</v>
      </c>
      <c r="BN9" s="461">
        <v>2.8519999999999999</v>
      </c>
      <c r="BO9" s="461">
        <v>2.8759999999999999</v>
      </c>
      <c r="BP9" s="461">
        <v>2.8879999999999999</v>
      </c>
      <c r="BQ9" s="461">
        <v>2.9</v>
      </c>
      <c r="BR9" s="461">
        <v>2.9129999999999998</v>
      </c>
      <c r="BS9" s="461">
        <v>2.931</v>
      </c>
      <c r="BT9" s="461">
        <v>2.9470000000000001</v>
      </c>
      <c r="BU9" s="461">
        <v>2.9630000000000001</v>
      </c>
      <c r="BV9" s="461">
        <v>2.9769999999999999</v>
      </c>
      <c r="BW9" s="461">
        <v>2.99</v>
      </c>
      <c r="BX9" s="461">
        <v>3.004</v>
      </c>
      <c r="BY9" s="461">
        <v>3.0190000000000001</v>
      </c>
      <c r="BZ9" s="461">
        <v>3.0339999999999998</v>
      </c>
      <c r="CA9" s="461">
        <v>3.0489999999999999</v>
      </c>
      <c r="CB9" s="461">
        <v>3.0619999999999998</v>
      </c>
      <c r="CC9" s="461">
        <v>3.0790000000000002</v>
      </c>
      <c r="CD9" s="461">
        <v>3.0950000000000002</v>
      </c>
    </row>
    <row r="10" spans="1:83">
      <c r="A10" s="466" t="s">
        <v>297</v>
      </c>
      <c r="B10" s="466" t="s">
        <v>298</v>
      </c>
      <c r="C10" s="473">
        <v>2.0339999999999998</v>
      </c>
      <c r="D10" s="473">
        <v>2.0590000000000002</v>
      </c>
      <c r="E10" s="473">
        <v>2.0640000000000001</v>
      </c>
      <c r="F10" s="473">
        <v>2.0870000000000002</v>
      </c>
      <c r="G10" s="473">
        <v>2.1040000000000001</v>
      </c>
      <c r="H10" s="473">
        <v>2.1150000000000002</v>
      </c>
      <c r="I10" s="473">
        <v>2.15</v>
      </c>
      <c r="J10" s="473">
        <v>2.169</v>
      </c>
      <c r="K10" s="473">
        <v>2.1880000000000002</v>
      </c>
      <c r="L10" s="473">
        <v>2.2130000000000001</v>
      </c>
      <c r="M10" s="473">
        <v>2.234</v>
      </c>
      <c r="N10" s="473">
        <v>2.2200000000000002</v>
      </c>
      <c r="O10" s="473">
        <v>2.234</v>
      </c>
      <c r="P10" s="473">
        <v>2.2589999999999999</v>
      </c>
      <c r="Q10" s="473">
        <v>2.2749999999999999</v>
      </c>
      <c r="R10" s="473">
        <v>2.3010000000000002</v>
      </c>
      <c r="S10" s="473">
        <v>2.3220000000000001</v>
      </c>
      <c r="T10" s="473">
        <v>2.363</v>
      </c>
      <c r="U10" s="473">
        <v>2.4039999999999999</v>
      </c>
      <c r="V10" s="473">
        <v>2.35</v>
      </c>
      <c r="W10" s="473">
        <v>2.3420000000000001</v>
      </c>
      <c r="X10" s="473">
        <v>2.347</v>
      </c>
      <c r="Y10" s="473">
        <v>2.367</v>
      </c>
      <c r="Z10" s="473">
        <v>2.38</v>
      </c>
      <c r="AA10" s="473">
        <v>2.3809999999999998</v>
      </c>
      <c r="AB10" s="473">
        <v>2.3839999999999999</v>
      </c>
      <c r="AC10" s="473">
        <v>2.3980000000000001</v>
      </c>
      <c r="AD10" s="473">
        <v>2.42</v>
      </c>
      <c r="AE10" s="473">
        <v>2.4340000000000002</v>
      </c>
      <c r="AF10" s="473">
        <v>2.4769999999999999</v>
      </c>
      <c r="AG10" s="473">
        <v>2.488</v>
      </c>
      <c r="AH10" s="473">
        <v>2.4950000000000001</v>
      </c>
      <c r="AI10" s="473">
        <v>2.5150000000000001</v>
      </c>
      <c r="AJ10" s="473">
        <v>2.5190000000000001</v>
      </c>
      <c r="AK10" s="473">
        <v>2.5289999999999999</v>
      </c>
      <c r="AL10" s="473">
        <v>2.5470000000000002</v>
      </c>
      <c r="AM10" s="473">
        <v>2.5569999999999999</v>
      </c>
      <c r="AN10" s="473">
        <v>2.5539999999999998</v>
      </c>
      <c r="AO10" s="473">
        <v>2.573</v>
      </c>
      <c r="AP10" s="473">
        <v>2.5870000000000002</v>
      </c>
      <c r="AQ10" s="473">
        <v>2.5979999999999999</v>
      </c>
      <c r="AR10" s="473">
        <v>2.6080000000000001</v>
      </c>
      <c r="AS10" s="473">
        <v>2.6139999999999999</v>
      </c>
      <c r="AT10" s="473">
        <v>2.6139999999999999</v>
      </c>
      <c r="AU10" s="461">
        <v>2.613</v>
      </c>
      <c r="AV10" s="461">
        <v>2.6230000000000002</v>
      </c>
      <c r="AW10" s="461">
        <v>2.6190000000000002</v>
      </c>
      <c r="AX10" s="461">
        <v>2.6240000000000001</v>
      </c>
      <c r="AY10" s="461">
        <v>2.6240000000000001</v>
      </c>
      <c r="AZ10" s="461">
        <v>2.6429999999999998</v>
      </c>
      <c r="BA10" s="461">
        <v>2.6640000000000001</v>
      </c>
      <c r="BB10" s="461">
        <v>2.6739999999999999</v>
      </c>
      <c r="BC10" s="461">
        <v>2.6949999999999998</v>
      </c>
      <c r="BD10" s="461">
        <v>2.694</v>
      </c>
      <c r="BE10" s="461">
        <v>2.706</v>
      </c>
      <c r="BF10" s="461">
        <v>2.714</v>
      </c>
      <c r="BG10" s="461">
        <v>2.746</v>
      </c>
      <c r="BH10" s="461">
        <v>2.7650000000000001</v>
      </c>
      <c r="BI10" s="461">
        <v>2.78</v>
      </c>
      <c r="BJ10" s="461">
        <v>2.806</v>
      </c>
      <c r="BK10" s="461">
        <v>2.827</v>
      </c>
      <c r="BL10" s="461">
        <v>2.8420000000000001</v>
      </c>
      <c r="BM10" s="461">
        <v>2.855</v>
      </c>
      <c r="BN10" s="461">
        <v>2.88</v>
      </c>
      <c r="BO10" s="461">
        <v>2.911</v>
      </c>
      <c r="BP10" s="461">
        <v>2.931</v>
      </c>
      <c r="BQ10" s="461">
        <v>2.95</v>
      </c>
      <c r="BR10" s="461">
        <v>2.972</v>
      </c>
      <c r="BS10" s="461">
        <v>2.9980000000000002</v>
      </c>
      <c r="BT10" s="461">
        <v>3.0230000000000001</v>
      </c>
      <c r="BU10" s="461">
        <v>3.0489999999999999</v>
      </c>
      <c r="BV10" s="461">
        <v>3.073</v>
      </c>
      <c r="BW10" s="461">
        <v>3.0979999999999999</v>
      </c>
      <c r="BX10" s="461">
        <v>3.1219999999999999</v>
      </c>
      <c r="BY10" s="461">
        <v>3.149</v>
      </c>
      <c r="BZ10" s="461">
        <v>3.1749999999999998</v>
      </c>
      <c r="CA10" s="461">
        <v>3.2010000000000001</v>
      </c>
      <c r="CB10" s="461">
        <v>3.2250000000000001</v>
      </c>
      <c r="CC10" s="461">
        <v>3.2519999999999998</v>
      </c>
      <c r="CD10" s="461">
        <v>3.278</v>
      </c>
    </row>
    <row r="15" spans="1:83">
      <c r="BF15" s="466"/>
    </row>
    <row r="16" spans="1:83">
      <c r="BF16" s="474" t="s">
        <v>299</v>
      </c>
      <c r="BG16" s="475"/>
      <c r="BH16" s="475"/>
      <c r="BI16" s="476" t="s">
        <v>304</v>
      </c>
      <c r="BJ16" s="477"/>
      <c r="BK16" s="477"/>
      <c r="BL16" s="477"/>
      <c r="BM16" s="477"/>
      <c r="BN16" s="477"/>
      <c r="BO16" s="475"/>
      <c r="BP16" s="475"/>
      <c r="BQ16" s="475"/>
    </row>
    <row r="17" spans="58:69">
      <c r="BF17" s="478"/>
      <c r="BG17" s="479"/>
      <c r="BH17" s="479"/>
      <c r="BI17" s="479"/>
      <c r="BJ17" s="479"/>
      <c r="BK17" s="479"/>
      <c r="BL17" s="479"/>
      <c r="BM17" s="479"/>
      <c r="BN17" s="479"/>
      <c r="BO17" s="479"/>
      <c r="BP17" s="479"/>
      <c r="BQ17" s="480"/>
    </row>
    <row r="18" spans="58:69">
      <c r="BF18" s="481"/>
      <c r="BG18" s="482" t="s">
        <v>300</v>
      </c>
      <c r="BH18" s="483" t="s">
        <v>303</v>
      </c>
      <c r="BI18" s="483"/>
      <c r="BJ18" s="483"/>
      <c r="BK18" s="483"/>
      <c r="BL18" s="483"/>
      <c r="BM18" s="483"/>
      <c r="BN18" s="483"/>
      <c r="BO18" s="483"/>
      <c r="BP18" s="483"/>
      <c r="BQ18" s="484"/>
    </row>
    <row r="19" spans="58:69">
      <c r="BF19" s="481"/>
      <c r="BG19" s="483"/>
      <c r="BH19" s="466" t="s">
        <v>275</v>
      </c>
      <c r="BI19" s="483"/>
      <c r="BJ19" s="483"/>
      <c r="BK19" s="483"/>
      <c r="BL19" s="483"/>
      <c r="BM19" s="483"/>
      <c r="BN19" s="483"/>
      <c r="BO19" s="483"/>
      <c r="BP19" s="483"/>
      <c r="BQ19" s="485" t="s">
        <v>121</v>
      </c>
    </row>
    <row r="20" spans="58:69">
      <c r="BF20" s="481"/>
      <c r="BG20" s="483"/>
      <c r="BH20" s="486">
        <f>BN9</f>
        <v>2.8519999999999999</v>
      </c>
      <c r="BI20" s="483"/>
      <c r="BJ20" s="483"/>
      <c r="BK20" s="483"/>
      <c r="BL20" s="483"/>
      <c r="BM20" s="483"/>
      <c r="BN20" s="483"/>
      <c r="BO20" s="483"/>
      <c r="BP20" s="483"/>
      <c r="BQ20" s="487">
        <f>BH20</f>
        <v>2.8519999999999999</v>
      </c>
    </row>
    <row r="21" spans="58:69">
      <c r="BF21" s="481"/>
      <c r="BG21" s="483"/>
      <c r="BH21" s="483"/>
      <c r="BI21" s="483"/>
      <c r="BJ21" s="483"/>
      <c r="BK21" s="483"/>
      <c r="BL21" s="483"/>
      <c r="BM21" s="483"/>
      <c r="BN21" s="483"/>
      <c r="BO21" s="483"/>
      <c r="BP21" s="483"/>
      <c r="BQ21" s="488"/>
    </row>
    <row r="22" spans="58:69">
      <c r="BF22" s="481"/>
      <c r="BG22" s="482" t="s">
        <v>301</v>
      </c>
      <c r="BH22" s="483" t="s">
        <v>302</v>
      </c>
      <c r="BI22" s="483"/>
      <c r="BJ22" s="483"/>
      <c r="BK22" s="483"/>
      <c r="BL22" s="483"/>
      <c r="BM22" s="483"/>
      <c r="BN22" s="483"/>
      <c r="BO22" s="483"/>
      <c r="BP22" s="483"/>
      <c r="BQ22" s="488"/>
    </row>
    <row r="23" spans="58:69">
      <c r="BF23" s="481"/>
      <c r="BG23" s="483"/>
      <c r="BH23" s="489" t="str">
        <f>BM7</f>
        <v>2019Q3</v>
      </c>
      <c r="BI23" s="489" t="str">
        <f t="shared" ref="BI23:BO23" si="0">BN7</f>
        <v>2019Q4</v>
      </c>
      <c r="BJ23" s="489" t="str">
        <f t="shared" si="0"/>
        <v>2020Q1</v>
      </c>
      <c r="BK23" s="489" t="str">
        <f t="shared" si="0"/>
        <v>2020Q2</v>
      </c>
      <c r="BL23" s="489" t="str">
        <f t="shared" si="0"/>
        <v>2020Q3</v>
      </c>
      <c r="BM23" s="489" t="str">
        <f t="shared" si="0"/>
        <v>2020Q4</v>
      </c>
      <c r="BN23" s="489" t="str">
        <f t="shared" si="0"/>
        <v>2021Q1</v>
      </c>
      <c r="BO23" s="489" t="str">
        <f t="shared" si="0"/>
        <v>2021Q2</v>
      </c>
      <c r="BP23" s="483"/>
      <c r="BQ23" s="488"/>
    </row>
    <row r="24" spans="58:69">
      <c r="BF24" s="481"/>
      <c r="BG24" s="483"/>
      <c r="BH24" s="473">
        <f>BM9</f>
        <v>2.8330000000000002</v>
      </c>
      <c r="BI24" s="473">
        <f t="shared" ref="BI24:BO24" si="1">BN9</f>
        <v>2.8519999999999999</v>
      </c>
      <c r="BJ24" s="473">
        <f t="shared" si="1"/>
        <v>2.8759999999999999</v>
      </c>
      <c r="BK24" s="473">
        <f t="shared" si="1"/>
        <v>2.8879999999999999</v>
      </c>
      <c r="BL24" s="473">
        <f t="shared" si="1"/>
        <v>2.9</v>
      </c>
      <c r="BM24" s="473">
        <f t="shared" si="1"/>
        <v>2.9129999999999998</v>
      </c>
      <c r="BN24" s="473">
        <f t="shared" si="1"/>
        <v>2.931</v>
      </c>
      <c r="BO24" s="473">
        <f t="shared" si="1"/>
        <v>2.9470000000000001</v>
      </c>
      <c r="BP24" s="483"/>
      <c r="BQ24" s="487">
        <f>AVERAGE(BH24:BO24)</f>
        <v>2.8925000000000001</v>
      </c>
    </row>
    <row r="25" spans="58:69">
      <c r="BF25" s="481"/>
      <c r="BG25" s="483"/>
      <c r="BH25" s="483"/>
      <c r="BI25" s="483"/>
      <c r="BJ25" s="483"/>
      <c r="BK25" s="483"/>
      <c r="BL25" s="483"/>
      <c r="BM25" s="483"/>
      <c r="BN25" s="483"/>
      <c r="BO25" s="483"/>
      <c r="BP25" s="483"/>
      <c r="BQ25" s="488"/>
    </row>
    <row r="26" spans="58:69">
      <c r="BF26" s="481"/>
      <c r="BG26" s="483"/>
      <c r="BH26" s="483"/>
      <c r="BI26" s="483"/>
      <c r="BJ26" s="483"/>
      <c r="BK26" s="483"/>
      <c r="BL26" s="483"/>
      <c r="BM26" s="483"/>
      <c r="BN26" s="483"/>
      <c r="BO26" s="483"/>
      <c r="BP26" s="490" t="s">
        <v>175</v>
      </c>
      <c r="BQ26" s="491">
        <f>(BQ24-BQ20)/BQ20</f>
        <v>1.4200561009817744E-2</v>
      </c>
    </row>
    <row r="27" spans="58:69">
      <c r="BF27" s="492"/>
      <c r="BG27" s="493"/>
      <c r="BH27" s="493"/>
      <c r="BI27" s="493"/>
      <c r="BJ27" s="493"/>
      <c r="BK27" s="493"/>
      <c r="BL27" s="493"/>
      <c r="BM27" s="493"/>
      <c r="BN27" s="493"/>
      <c r="BO27" s="493"/>
      <c r="BP27" s="493"/>
      <c r="BQ27" s="494"/>
    </row>
  </sheetData>
  <pageMargins left="0.25" right="0.25" top="1" bottom="1" header="0.5" footer="0.5"/>
  <pageSetup scale="95" orientation="landscape" r:id="rId1"/>
  <headerFooter alignWithMargins="0"/>
  <colBreaks count="2" manualBreakCount="2">
    <brk id="64" max="27" man="1"/>
    <brk id="7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T69"/>
  <sheetViews>
    <sheetView topLeftCell="G8" zoomScale="80" zoomScaleNormal="80" workbookViewId="0">
      <selection activeCell="G8" sqref="G8"/>
    </sheetView>
  </sheetViews>
  <sheetFormatPr defaultColWidth="9.140625" defaultRowHeight="15"/>
  <cols>
    <col min="1" max="1" width="2.28515625" style="4" customWidth="1"/>
    <col min="2" max="2" width="35.85546875" style="13" customWidth="1"/>
    <col min="3" max="3" width="12.42578125" style="13" customWidth="1"/>
    <col min="4" max="4" width="10.7109375" style="13" customWidth="1"/>
    <col min="5" max="5" width="12.42578125" style="16" customWidth="1"/>
    <col min="6" max="6" width="12.28515625" style="4" customWidth="1"/>
    <col min="7" max="7" width="11.140625" style="9" customWidth="1"/>
    <col min="8" max="8" width="11.85546875" style="4" customWidth="1"/>
    <col min="9" max="9" width="2.28515625" style="4" customWidth="1"/>
    <col min="10" max="10" width="26.7109375" style="4" customWidth="1"/>
    <col min="11" max="11" width="11" style="4" customWidth="1"/>
    <col min="12" max="12" width="10.140625" style="4" customWidth="1"/>
    <col min="13" max="13" width="12.42578125" style="4" customWidth="1"/>
    <col min="14" max="14" width="2.85546875" style="4" customWidth="1"/>
    <col min="15" max="15" width="26.140625" style="4" customWidth="1"/>
    <col min="16" max="18" width="12.7109375" style="4" customWidth="1"/>
    <col min="19" max="19" width="2.28515625" style="4" customWidth="1"/>
    <col min="20" max="20" width="22.7109375" style="4" customWidth="1"/>
    <col min="21" max="23" width="12.7109375" style="4" customWidth="1"/>
    <col min="24" max="24" width="2.28515625" style="4" customWidth="1"/>
    <col min="25" max="25" width="26.140625" style="8" hidden="1" customWidth="1"/>
    <col min="26" max="26" width="14.85546875" style="9" hidden="1" customWidth="1"/>
    <col min="27" max="27" width="9.42578125" style="10" hidden="1" customWidth="1"/>
    <col min="28" max="28" width="11.5703125" style="9" hidden="1" customWidth="1"/>
    <col min="29" max="29" width="2.42578125" style="11" hidden="1" customWidth="1"/>
    <col min="30" max="30" width="22.7109375" style="8" hidden="1" customWidth="1"/>
    <col min="31" max="31" width="7.85546875" style="12" hidden="1" customWidth="1"/>
    <col min="32" max="32" width="11.28515625" style="9" hidden="1" customWidth="1"/>
    <col min="33" max="33" width="9.7109375" style="10" hidden="1" customWidth="1"/>
    <col min="34" max="34" width="12.140625" style="9" customWidth="1"/>
    <col min="35" max="35" width="3.42578125" style="11" customWidth="1"/>
    <col min="36" max="36" width="22.42578125" style="8" customWidth="1"/>
    <col min="37" max="37" width="16" style="12" bestFit="1" customWidth="1"/>
    <col min="38" max="38" width="11.5703125" style="9" customWidth="1"/>
    <col min="39" max="39" width="11.5703125" style="10" customWidth="1"/>
    <col min="40" max="40" width="14.85546875" style="9" customWidth="1"/>
    <col min="41" max="41" width="3" style="13" customWidth="1"/>
    <col min="42" max="49" width="9.140625" style="14"/>
    <col min="50" max="50" width="11.5703125" style="5" customWidth="1"/>
    <col min="51" max="51" width="10.7109375" style="5" customWidth="1"/>
    <col min="52" max="52" width="9.42578125" style="63" customWidth="1"/>
    <col min="53" max="55" width="9.140625" style="5"/>
    <col min="56" max="16384" width="9.140625" style="4"/>
  </cols>
  <sheetData>
    <row r="1" spans="1:55" ht="21.75" customHeight="1">
      <c r="B1" s="524"/>
      <c r="C1" s="524"/>
      <c r="D1" s="524"/>
      <c r="E1" s="524"/>
      <c r="F1" s="6"/>
      <c r="G1" s="4"/>
      <c r="H1" s="7"/>
      <c r="AX1" s="9"/>
      <c r="AY1" s="4"/>
      <c r="AZ1" s="4"/>
      <c r="BA1" s="4"/>
    </row>
    <row r="2" spans="1:55" ht="16.5" customHeight="1" thickBot="1">
      <c r="B2" s="4"/>
      <c r="C2" s="4"/>
      <c r="D2" s="4"/>
      <c r="E2" s="4"/>
      <c r="F2" s="6"/>
      <c r="G2" s="4"/>
      <c r="H2" s="8"/>
      <c r="J2" s="15"/>
      <c r="AJ2" s="13"/>
      <c r="AK2" s="181"/>
      <c r="AL2" s="181"/>
      <c r="AM2" s="16"/>
      <c r="AN2" s="4"/>
      <c r="AO2" s="4"/>
      <c r="AX2" s="9"/>
      <c r="AY2" s="4"/>
      <c r="AZ2" s="4"/>
      <c r="BA2" s="4"/>
      <c r="BB2" s="4"/>
      <c r="BC2" s="4"/>
    </row>
    <row r="3" spans="1:55" ht="18" customHeight="1" thickBot="1">
      <c r="B3" s="525" t="s">
        <v>309</v>
      </c>
      <c r="C3" s="526"/>
      <c r="D3" s="526"/>
      <c r="E3" s="527"/>
      <c r="G3" s="4"/>
      <c r="H3" s="8"/>
      <c r="J3" s="531" t="s">
        <v>306</v>
      </c>
      <c r="K3" s="532"/>
      <c r="L3" s="532"/>
      <c r="M3" s="533"/>
      <c r="O3" s="531" t="s">
        <v>36</v>
      </c>
      <c r="P3" s="532"/>
      <c r="Q3" s="532"/>
      <c r="R3" s="533"/>
      <c r="AC3" s="17"/>
      <c r="AI3" s="9"/>
      <c r="AJ3" s="14"/>
      <c r="AK3" s="534"/>
      <c r="AL3" s="534"/>
      <c r="AM3" s="18"/>
      <c r="AN3" s="18"/>
      <c r="AO3" s="14"/>
      <c r="AR3" s="9"/>
      <c r="AS3" s="5"/>
      <c r="AT3" s="5"/>
      <c r="AU3" s="5"/>
      <c r="AV3" s="4"/>
      <c r="AW3" s="4"/>
      <c r="AX3" s="4"/>
      <c r="AY3" s="4"/>
      <c r="AZ3" s="4"/>
      <c r="BA3" s="4"/>
      <c r="BB3" s="4"/>
      <c r="BC3" s="4"/>
    </row>
    <row r="4" spans="1:55" ht="18" customHeight="1" thickBot="1">
      <c r="B4" s="528"/>
      <c r="C4" s="529"/>
      <c r="D4" s="529"/>
      <c r="E4" s="530"/>
      <c r="G4" s="4"/>
      <c r="H4" s="8"/>
      <c r="J4" s="19" t="s">
        <v>19</v>
      </c>
      <c r="K4" s="20"/>
      <c r="L4" s="21" t="s">
        <v>20</v>
      </c>
      <c r="M4" s="22">
        <f>$G$29</f>
        <v>5000</v>
      </c>
      <c r="O4" s="19" t="s">
        <v>19</v>
      </c>
      <c r="P4" s="20"/>
      <c r="Q4" s="21" t="s">
        <v>20</v>
      </c>
      <c r="R4" s="22">
        <f>$G$29</f>
        <v>5000</v>
      </c>
      <c r="AC4" s="23"/>
      <c r="AI4" s="9"/>
      <c r="AJ4" s="14"/>
      <c r="AK4" s="187"/>
      <c r="AL4" s="187"/>
      <c r="AM4" s="14"/>
      <c r="AN4" s="14"/>
      <c r="AO4" s="14"/>
      <c r="AR4" s="9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spans="1:55" s="5" customFormat="1" ht="15" customHeight="1">
      <c r="B5" s="537" t="s">
        <v>21</v>
      </c>
      <c r="C5" s="540"/>
      <c r="D5" s="543" t="s">
        <v>148</v>
      </c>
      <c r="E5" s="546"/>
      <c r="F5" s="4"/>
      <c r="G5" s="4"/>
      <c r="H5" s="8"/>
      <c r="J5" s="26"/>
      <c r="K5" s="27" t="s">
        <v>27</v>
      </c>
      <c r="L5" s="28" t="s">
        <v>28</v>
      </c>
      <c r="M5" s="29" t="s">
        <v>29</v>
      </c>
      <c r="N5" s="4"/>
      <c r="O5" s="19"/>
      <c r="P5" s="20"/>
      <c r="Q5" s="21"/>
      <c r="R5" s="22"/>
      <c r="S5" s="4"/>
      <c r="AC5" s="11"/>
      <c r="AI5" s="9"/>
      <c r="AK5" s="194"/>
      <c r="AL5" s="125"/>
      <c r="AR5" s="9"/>
    </row>
    <row r="6" spans="1:55">
      <c r="B6" s="538"/>
      <c r="C6" s="541"/>
      <c r="D6" s="544"/>
      <c r="E6" s="547"/>
      <c r="G6" s="4"/>
      <c r="H6" s="8"/>
      <c r="J6" s="32" t="str">
        <f t="shared" ref="J6:K7" si="0">B17</f>
        <v>Management</v>
      </c>
      <c r="K6" s="33">
        <f t="shared" si="0"/>
        <v>58863.5</v>
      </c>
      <c r="L6" s="34">
        <v>1</v>
      </c>
      <c r="M6" s="35">
        <f>K6*L6</f>
        <v>58863.5</v>
      </c>
      <c r="O6" s="26"/>
      <c r="P6" s="27" t="s">
        <v>27</v>
      </c>
      <c r="Q6" s="28" t="s">
        <v>28</v>
      </c>
      <c r="R6" s="29" t="s">
        <v>29</v>
      </c>
      <c r="AC6" s="36"/>
      <c r="AI6" s="37"/>
      <c r="AJ6" s="14"/>
      <c r="AK6" s="194"/>
      <c r="AL6" s="500"/>
      <c r="AM6" s="14"/>
      <c r="AN6" s="14"/>
      <c r="AO6" s="14"/>
      <c r="AR6" s="9"/>
      <c r="AS6" s="9"/>
      <c r="AT6" s="9"/>
      <c r="AU6" s="9"/>
      <c r="AV6" s="4"/>
      <c r="AW6" s="4"/>
      <c r="AX6" s="4"/>
      <c r="AY6" s="4"/>
      <c r="AZ6" s="4"/>
      <c r="BA6" s="4"/>
      <c r="BB6" s="4"/>
      <c r="BC6" s="4"/>
    </row>
    <row r="7" spans="1:55" s="5" customFormat="1" ht="18" customHeight="1" thickBot="1">
      <c r="B7" s="539"/>
      <c r="C7" s="542"/>
      <c r="D7" s="545"/>
      <c r="E7" s="548"/>
      <c r="F7" s="4"/>
      <c r="G7" s="4"/>
      <c r="H7" s="8"/>
      <c r="J7" s="32" t="str">
        <f t="shared" si="0"/>
        <v>Direct Care</v>
      </c>
      <c r="K7" s="33">
        <f t="shared" si="0"/>
        <v>32310.666666666668</v>
      </c>
      <c r="L7" s="34">
        <v>6.75</v>
      </c>
      <c r="M7" s="35">
        <f>K7*L7</f>
        <v>218097</v>
      </c>
      <c r="N7" s="4"/>
      <c r="O7" s="32" t="s">
        <v>32</v>
      </c>
      <c r="P7" s="33">
        <f>C17</f>
        <v>58863.5</v>
      </c>
      <c r="Q7" s="34">
        <f>D22</f>
        <v>1</v>
      </c>
      <c r="R7" s="35">
        <f>P7*Q7</f>
        <v>58863.5</v>
      </c>
      <c r="S7" s="4"/>
      <c r="AC7" s="11"/>
      <c r="AI7" s="11"/>
      <c r="AK7" s="194"/>
      <c r="AL7" s="125"/>
      <c r="AR7" s="9"/>
      <c r="AS7" s="39"/>
      <c r="AT7" s="39"/>
      <c r="AU7" s="39"/>
    </row>
    <row r="8" spans="1:55" s="9" customFormat="1">
      <c r="B8" s="40" t="s">
        <v>306</v>
      </c>
      <c r="C8" s="41"/>
      <c r="D8" s="41">
        <f>M29</f>
        <v>7.7503187839383365</v>
      </c>
      <c r="E8" s="502"/>
      <c r="F8" s="274"/>
      <c r="G8" s="4"/>
      <c r="H8" s="8"/>
      <c r="J8" s="32" t="str">
        <f>B20</f>
        <v>Support Staff</v>
      </c>
      <c r="K8" s="33">
        <f>C20</f>
        <v>32310.666666666668</v>
      </c>
      <c r="L8" s="34">
        <f>C25</f>
        <v>1</v>
      </c>
      <c r="M8" s="35">
        <f>K8*L8</f>
        <v>32310.666666666668</v>
      </c>
      <c r="N8" s="4"/>
      <c r="O8" s="32" t="s">
        <v>33</v>
      </c>
      <c r="P8" s="33">
        <f>C18</f>
        <v>32310.666666666668</v>
      </c>
      <c r="Q8" s="34">
        <f>D24</f>
        <v>10.8</v>
      </c>
      <c r="R8" s="35">
        <f>P8*Q8</f>
        <v>348955.2</v>
      </c>
      <c r="S8" s="4"/>
      <c r="AC8" s="11"/>
      <c r="AI8" s="43"/>
      <c r="AK8" s="194"/>
      <c r="AL8" s="125"/>
      <c r="AS8" s="39"/>
      <c r="AT8" s="39"/>
      <c r="AU8" s="39"/>
    </row>
    <row r="9" spans="1:55" s="39" customFormat="1">
      <c r="B9" s="44" t="s">
        <v>36</v>
      </c>
      <c r="C9" s="41"/>
      <c r="D9" s="41">
        <f>R29</f>
        <v>6.2045102017190299</v>
      </c>
      <c r="E9" s="502"/>
      <c r="F9" s="274"/>
      <c r="G9" s="4"/>
      <c r="H9" s="8"/>
      <c r="J9" s="32" t="str">
        <f>B19</f>
        <v>Clinical, Med, Specialized</v>
      </c>
      <c r="K9" s="33">
        <f>C19</f>
        <v>47142</v>
      </c>
      <c r="L9" s="34">
        <v>5.2</v>
      </c>
      <c r="M9" s="35">
        <f>K9*L9</f>
        <v>245138.4</v>
      </c>
      <c r="N9" s="4"/>
      <c r="O9" s="32" t="str">
        <f>B20</f>
        <v>Support Staff</v>
      </c>
      <c r="P9" s="33">
        <f>C20</f>
        <v>32310.666666666668</v>
      </c>
      <c r="Q9" s="34">
        <f>D25</f>
        <v>0.5</v>
      </c>
      <c r="R9" s="35">
        <f>P9*Q9</f>
        <v>16155.333333333334</v>
      </c>
      <c r="S9" s="4"/>
      <c r="AC9" s="11"/>
      <c r="AI9" s="43"/>
      <c r="AK9" s="194"/>
      <c r="AL9" s="125"/>
      <c r="AR9" s="9"/>
      <c r="AS9" s="9"/>
      <c r="AT9" s="9"/>
      <c r="AU9" s="9"/>
    </row>
    <row r="10" spans="1:55" s="39" customFormat="1">
      <c r="B10" s="44" t="s">
        <v>38</v>
      </c>
      <c r="C10" s="41"/>
      <c r="D10" s="41">
        <f>M56</f>
        <v>4.396819992488159</v>
      </c>
      <c r="E10" s="502"/>
      <c r="F10" s="274"/>
      <c r="G10" s="4"/>
      <c r="H10" s="8"/>
      <c r="J10" s="46" t="s">
        <v>37</v>
      </c>
      <c r="K10" s="47"/>
      <c r="L10" s="518">
        <f>SUM(L6:L9)</f>
        <v>13.95</v>
      </c>
      <c r="M10" s="49">
        <f>SUM(M6:M9)</f>
        <v>554409.56666666665</v>
      </c>
      <c r="N10" s="4"/>
      <c r="O10" s="46" t="s">
        <v>37</v>
      </c>
      <c r="P10" s="47"/>
      <c r="Q10" s="48">
        <f>SUM(Q7:Q9)</f>
        <v>12.3</v>
      </c>
      <c r="R10" s="49">
        <f>SUM(R7:R9)</f>
        <v>423974.03333333333</v>
      </c>
      <c r="S10" s="4"/>
      <c r="AC10" s="17"/>
      <c r="AI10" s="11"/>
      <c r="AK10" s="501"/>
      <c r="AL10" s="501"/>
      <c r="AR10" s="9"/>
      <c r="AS10" s="5"/>
      <c r="AT10" s="5"/>
      <c r="AU10" s="5"/>
    </row>
    <row r="11" spans="1:55" s="9" customFormat="1">
      <c r="B11" s="44" t="s">
        <v>39</v>
      </c>
      <c r="C11" s="41"/>
      <c r="D11" s="41">
        <f>R56</f>
        <v>3.6523903619844345</v>
      </c>
      <c r="E11" s="502"/>
      <c r="F11" s="274"/>
      <c r="G11" s="4"/>
      <c r="H11" s="8"/>
      <c r="J11" s="26"/>
      <c r="K11" s="27"/>
      <c r="L11" s="37"/>
      <c r="M11" s="50"/>
      <c r="N11" s="4"/>
      <c r="O11" s="26"/>
      <c r="P11" s="27"/>
      <c r="Q11" s="37"/>
      <c r="R11" s="50"/>
      <c r="S11" s="4"/>
      <c r="AC11" s="36"/>
      <c r="AI11" s="37"/>
      <c r="AK11" s="181"/>
      <c r="AL11" s="181"/>
      <c r="AS11" s="5"/>
      <c r="AT11" s="5"/>
      <c r="AU11" s="5"/>
    </row>
    <row r="12" spans="1:55" s="5" customFormat="1">
      <c r="B12" s="44" t="s">
        <v>310</v>
      </c>
      <c r="C12" s="45"/>
      <c r="D12" s="41">
        <f>W45</f>
        <v>10.927366461660839</v>
      </c>
      <c r="E12" s="502"/>
      <c r="F12" s="274"/>
      <c r="G12" s="42"/>
      <c r="H12" s="8"/>
      <c r="J12" s="51" t="str">
        <f>B31</f>
        <v>Tax &amp; Fringe</v>
      </c>
      <c r="K12" s="52">
        <f>$C$31</f>
        <v>0.23105972742020292</v>
      </c>
      <c r="L12" s="53"/>
      <c r="M12" s="35">
        <f>K12*M10</f>
        <v>128101.72335315282</v>
      </c>
      <c r="N12" s="4"/>
      <c r="O12" s="51" t="s">
        <v>40</v>
      </c>
      <c r="P12" s="52">
        <f>$C$31</f>
        <v>0.23105972742020292</v>
      </c>
      <c r="Q12" s="53"/>
      <c r="R12" s="35">
        <f>P12*R10</f>
        <v>97963.324575244027</v>
      </c>
      <c r="S12" s="4"/>
      <c r="AC12" s="58"/>
      <c r="AI12" s="37"/>
      <c r="AR12" s="9"/>
    </row>
    <row r="13" spans="1:55" s="5" customFormat="1" ht="15.75" thickBot="1">
      <c r="B13" s="504"/>
      <c r="C13" s="505"/>
      <c r="D13" s="506"/>
      <c r="E13" s="503"/>
      <c r="F13" s="59"/>
      <c r="G13" s="60"/>
      <c r="H13" s="8"/>
      <c r="J13" s="54" t="s">
        <v>41</v>
      </c>
      <c r="K13" s="55"/>
      <c r="L13" s="56"/>
      <c r="M13" s="57">
        <f>M12+M10</f>
        <v>682511.29001981951</v>
      </c>
      <c r="N13" s="4"/>
      <c r="O13" s="54" t="s">
        <v>41</v>
      </c>
      <c r="P13" s="55"/>
      <c r="Q13" s="56"/>
      <c r="R13" s="57">
        <f>R12+R10</f>
        <v>521937.35790857737</v>
      </c>
      <c r="S13" s="4"/>
      <c r="AC13" s="36"/>
      <c r="AI13" s="37"/>
      <c r="AR13" s="9"/>
      <c r="AS13" s="8"/>
      <c r="AT13" s="8"/>
      <c r="AU13" s="8"/>
    </row>
    <row r="14" spans="1:55" s="5" customFormat="1" ht="15.75" thickBot="1">
      <c r="A14" s="8"/>
      <c r="B14" s="4"/>
      <c r="F14" s="63"/>
      <c r="I14" s="8"/>
      <c r="J14" s="61"/>
      <c r="K14" s="62"/>
      <c r="L14" s="28" t="s">
        <v>43</v>
      </c>
      <c r="M14" s="35"/>
      <c r="N14" s="4"/>
      <c r="O14" s="61"/>
      <c r="P14" s="62"/>
      <c r="Q14" s="28" t="s">
        <v>43</v>
      </c>
      <c r="R14" s="35"/>
      <c r="S14" s="4"/>
      <c r="AC14" s="11"/>
      <c r="AI14" s="66"/>
      <c r="AR14" s="9"/>
      <c r="AS14" s="4"/>
      <c r="AT14" s="4"/>
      <c r="AU14" s="4"/>
    </row>
    <row r="15" spans="1:55" s="8" customFormat="1" ht="15.75" thickBot="1">
      <c r="A15" s="4"/>
      <c r="B15" s="531" t="s">
        <v>44</v>
      </c>
      <c r="C15" s="532"/>
      <c r="D15" s="532"/>
      <c r="E15" s="532"/>
      <c r="F15" s="532"/>
      <c r="G15" s="532"/>
      <c r="H15" s="533"/>
      <c r="I15" s="4"/>
      <c r="J15" s="64" t="s">
        <v>0</v>
      </c>
      <c r="K15" s="62"/>
      <c r="L15" s="65">
        <f>C32</f>
        <v>11.11</v>
      </c>
      <c r="M15" s="35">
        <f>L15*$M$4</f>
        <v>55550</v>
      </c>
      <c r="N15" s="4"/>
      <c r="O15" s="64" t="s">
        <v>0</v>
      </c>
      <c r="P15" s="62"/>
      <c r="Q15" s="65">
        <f>C32</f>
        <v>11.11</v>
      </c>
      <c r="R15" s="35">
        <f t="shared" ref="R15:R17" si="1">Q15*$R$4</f>
        <v>55550</v>
      </c>
      <c r="S15" s="4"/>
      <c r="AC15" s="11"/>
      <c r="AI15" s="11"/>
      <c r="AR15" s="4"/>
      <c r="AS15" s="4"/>
      <c r="AT15" s="4"/>
      <c r="AU15" s="4"/>
    </row>
    <row r="16" spans="1:55" ht="15.75" thickBot="1">
      <c r="B16" s="549" t="s">
        <v>45</v>
      </c>
      <c r="C16" s="550"/>
      <c r="D16" s="551" t="s">
        <v>46</v>
      </c>
      <c r="E16" s="552"/>
      <c r="F16" s="552"/>
      <c r="G16" s="552"/>
      <c r="H16" s="553"/>
      <c r="J16" s="64" t="s">
        <v>2</v>
      </c>
      <c r="K16" s="62"/>
      <c r="L16" s="65">
        <f>C33</f>
        <v>1.27</v>
      </c>
      <c r="M16" s="35">
        <f t="shared" ref="M16:M17" si="2">L16*$M$4</f>
        <v>6350</v>
      </c>
      <c r="O16" s="64" t="s">
        <v>2</v>
      </c>
      <c r="P16" s="62"/>
      <c r="Q16" s="65">
        <f>C33</f>
        <v>1.27</v>
      </c>
      <c r="R16" s="35">
        <f t="shared" si="1"/>
        <v>6350</v>
      </c>
      <c r="AJ16" s="14"/>
      <c r="AK16" s="14"/>
      <c r="AL16" s="14"/>
      <c r="AM16" s="14"/>
      <c r="AN16" s="14"/>
      <c r="AO16" s="14"/>
      <c r="AR16" s="5"/>
      <c r="AS16" s="5"/>
      <c r="AT16" s="67"/>
      <c r="AU16" s="4"/>
      <c r="AV16" s="4"/>
      <c r="AW16" s="4"/>
      <c r="AX16" s="4"/>
      <c r="AY16" s="4"/>
      <c r="AZ16" s="4"/>
      <c r="BA16" s="4"/>
      <c r="BB16" s="4"/>
      <c r="BC16" s="4"/>
    </row>
    <row r="17" spans="1:72">
      <c r="B17" s="68" t="s">
        <v>47</v>
      </c>
      <c r="C17" s="234">
        <f>'[1]All Rates'!R14</f>
        <v>58863.5</v>
      </c>
      <c r="D17" s="272" t="s">
        <v>149</v>
      </c>
      <c r="E17" s="70"/>
      <c r="F17" s="71"/>
      <c r="G17" s="71"/>
      <c r="H17" s="72"/>
      <c r="J17" s="64" t="s">
        <v>3</v>
      </c>
      <c r="K17" s="62"/>
      <c r="L17" s="65">
        <f>C34</f>
        <v>6</v>
      </c>
      <c r="M17" s="35">
        <f t="shared" si="2"/>
        <v>30000</v>
      </c>
      <c r="O17" s="64" t="s">
        <v>3</v>
      </c>
      <c r="P17" s="62"/>
      <c r="Q17" s="65">
        <f>C34</f>
        <v>6</v>
      </c>
      <c r="R17" s="35">
        <f t="shared" si="1"/>
        <v>30000</v>
      </c>
      <c r="AJ17" s="14"/>
      <c r="AK17" s="14"/>
      <c r="AL17" s="14"/>
      <c r="AM17" s="14"/>
      <c r="AN17" s="14"/>
      <c r="AO17" s="14"/>
      <c r="AR17" s="73"/>
      <c r="AS17" s="5"/>
      <c r="AT17" s="63"/>
      <c r="AU17" s="4"/>
      <c r="AV17" s="4"/>
      <c r="AW17" s="4"/>
      <c r="AX17" s="4"/>
      <c r="AY17" s="4"/>
      <c r="AZ17" s="4"/>
      <c r="BA17" s="4"/>
      <c r="BB17" s="4"/>
      <c r="BC17" s="4"/>
    </row>
    <row r="18" spans="1:72" ht="15.75" thickBot="1">
      <c r="B18" s="51" t="s">
        <v>48</v>
      </c>
      <c r="C18" s="235">
        <f>'[1]All Rates'!S14</f>
        <v>32310.666666666668</v>
      </c>
      <c r="D18" s="74" t="s">
        <v>149</v>
      </c>
      <c r="E18" s="70"/>
      <c r="F18" s="71"/>
      <c r="G18" s="71"/>
      <c r="H18" s="72"/>
      <c r="J18" s="64" t="s">
        <v>1</v>
      </c>
      <c r="K18" s="62"/>
      <c r="L18" s="75">
        <f>C35</f>
        <v>7.0898067420324296</v>
      </c>
      <c r="M18" s="76">
        <f>L18*$M$4*C28</f>
        <v>35449.033710162148</v>
      </c>
      <c r="O18" s="64" t="s">
        <v>1</v>
      </c>
      <c r="P18" s="62"/>
      <c r="Q18" s="75">
        <f>C35</f>
        <v>7.0898067420324296</v>
      </c>
      <c r="R18" s="76">
        <f>Q18*$R$4*D28</f>
        <v>35449.033710162148</v>
      </c>
      <c r="AJ18" s="14"/>
      <c r="AK18" s="14"/>
      <c r="AL18" s="14"/>
      <c r="AM18" s="14"/>
      <c r="AN18" s="14"/>
      <c r="AO18" s="14"/>
      <c r="AR18" s="73"/>
      <c r="AS18" s="77"/>
      <c r="AT18" s="63"/>
      <c r="AU18" s="4"/>
      <c r="AV18" s="4"/>
      <c r="AW18" s="4"/>
      <c r="AX18" s="4"/>
      <c r="AY18" s="4"/>
      <c r="AZ18" s="4"/>
      <c r="BA18" s="4"/>
      <c r="BB18" s="4"/>
      <c r="BC18" s="4"/>
    </row>
    <row r="19" spans="1:72" ht="15.75" thickBot="1">
      <c r="B19" s="51" t="s">
        <v>49</v>
      </c>
      <c r="C19" s="235">
        <v>47142</v>
      </c>
      <c r="D19" s="74" t="s">
        <v>202</v>
      </c>
      <c r="E19" s="70"/>
      <c r="F19" s="71"/>
      <c r="G19" s="71"/>
      <c r="H19" s="72"/>
      <c r="J19" s="32"/>
      <c r="K19" s="62"/>
      <c r="L19" s="78">
        <f>SUM(L15:L18)</f>
        <v>25.469806742032429</v>
      </c>
      <c r="M19" s="79">
        <f>SUM(M15:M18)</f>
        <v>127349.03371016216</v>
      </c>
      <c r="O19" s="32"/>
      <c r="P19" s="62"/>
      <c r="Q19" s="78">
        <f>SUM(Q15:Q18)</f>
        <v>25.469806742032429</v>
      </c>
      <c r="R19" s="79">
        <f>SUM(R15:R18)</f>
        <v>127349.03371016216</v>
      </c>
      <c r="T19" s="531" t="s">
        <v>34</v>
      </c>
      <c r="U19" s="532"/>
      <c r="V19" s="532"/>
      <c r="W19" s="533"/>
      <c r="AJ19" s="14"/>
      <c r="AK19" s="14"/>
      <c r="AL19" s="14"/>
      <c r="AM19" s="14"/>
      <c r="AN19" s="14"/>
      <c r="AO19" s="14"/>
      <c r="AR19" s="5"/>
      <c r="AS19" s="77"/>
      <c r="AT19" s="63"/>
      <c r="AU19" s="4"/>
      <c r="AV19" s="4"/>
      <c r="AW19" s="4"/>
      <c r="AX19" s="4"/>
      <c r="AY19" s="4"/>
      <c r="AZ19" s="4"/>
      <c r="BA19" s="4"/>
      <c r="BB19" s="4"/>
      <c r="BC19" s="4"/>
    </row>
    <row r="20" spans="1:72">
      <c r="B20" s="80" t="s">
        <v>152</v>
      </c>
      <c r="C20" s="236">
        <f>C18</f>
        <v>32310.666666666668</v>
      </c>
      <c r="D20" s="69" t="s">
        <v>149</v>
      </c>
      <c r="E20" s="81"/>
      <c r="F20" s="82"/>
      <c r="G20" s="82"/>
      <c r="H20" s="72"/>
      <c r="J20" s="61"/>
      <c r="K20" s="62"/>
      <c r="L20" s="83"/>
      <c r="M20" s="35"/>
      <c r="O20" s="61"/>
      <c r="P20" s="62"/>
      <c r="Q20" s="83"/>
      <c r="R20" s="35"/>
      <c r="T20" s="19" t="s">
        <v>19</v>
      </c>
      <c r="U20" s="20"/>
      <c r="V20" s="21" t="s">
        <v>20</v>
      </c>
      <c r="W20" s="22">
        <f>$G$29</f>
        <v>5000</v>
      </c>
      <c r="AJ20" s="14"/>
      <c r="AK20" s="14"/>
      <c r="AL20" s="14"/>
      <c r="AM20" s="14"/>
      <c r="AN20" s="14"/>
      <c r="AO20" s="14"/>
      <c r="AR20" s="5"/>
      <c r="AS20" s="5"/>
      <c r="AT20" s="63"/>
      <c r="AU20" s="4"/>
      <c r="AV20" s="4"/>
      <c r="AW20" s="4"/>
      <c r="AX20" s="4"/>
      <c r="AY20" s="4"/>
      <c r="AZ20" s="4"/>
      <c r="BA20" s="4"/>
      <c r="BB20" s="4"/>
      <c r="BC20" s="4"/>
    </row>
    <row r="21" spans="1:72">
      <c r="B21" s="84" t="s">
        <v>51</v>
      </c>
      <c r="C21" s="85" t="s">
        <v>8</v>
      </c>
      <c r="D21" s="273" t="s">
        <v>9</v>
      </c>
      <c r="E21" s="85" t="s">
        <v>10</v>
      </c>
      <c r="F21" s="85" t="s">
        <v>11</v>
      </c>
      <c r="G21" s="85" t="s">
        <v>311</v>
      </c>
      <c r="H21" s="86"/>
      <c r="J21" s="46" t="s">
        <v>52</v>
      </c>
      <c r="K21" s="47"/>
      <c r="L21" s="48"/>
      <c r="M21" s="49">
        <f>M13+M19</f>
        <v>809860.32372998167</v>
      </c>
      <c r="O21" s="46" t="s">
        <v>52</v>
      </c>
      <c r="P21" s="47"/>
      <c r="Q21" s="48"/>
      <c r="R21" s="49">
        <f>R13+R19</f>
        <v>649286.39161873958</v>
      </c>
      <c r="T21" s="26"/>
      <c r="U21" s="27" t="s">
        <v>27</v>
      </c>
      <c r="V21" s="28" t="s">
        <v>28</v>
      </c>
      <c r="W21" s="29" t="s">
        <v>29</v>
      </c>
      <c r="AJ21" s="14"/>
      <c r="AK21" s="14"/>
      <c r="AL21" s="14"/>
      <c r="AM21" s="14"/>
      <c r="AN21" s="14"/>
      <c r="AO21" s="14"/>
      <c r="AR21" s="87"/>
      <c r="AS21" s="5"/>
      <c r="AT21" s="63"/>
      <c r="AU21" s="4"/>
      <c r="AV21" s="4"/>
      <c r="AW21" s="4"/>
      <c r="AX21" s="4"/>
      <c r="AY21" s="4"/>
      <c r="AZ21" s="4"/>
      <c r="BA21" s="4"/>
      <c r="BB21" s="4"/>
      <c r="BC21" s="4"/>
    </row>
    <row r="22" spans="1:72">
      <c r="B22" s="88" t="s">
        <v>47</v>
      </c>
      <c r="C22" s="89">
        <v>1.65</v>
      </c>
      <c r="D22" s="89">
        <v>1</v>
      </c>
      <c r="E22" s="89">
        <v>0.8</v>
      </c>
      <c r="F22" s="89">
        <v>0.5</v>
      </c>
      <c r="G22" s="89">
        <v>1</v>
      </c>
      <c r="H22" s="90"/>
      <c r="J22" s="448" t="str">
        <f>B37</f>
        <v>PFMLA Trust Contribution</v>
      </c>
      <c r="K22" s="449">
        <f>C37</f>
        <v>6.3E-3</v>
      </c>
      <c r="L22" s="450"/>
      <c r="M22" s="451">
        <f>M10*(K29+1)*K22</f>
        <v>3542.3797093180224</v>
      </c>
      <c r="O22" s="448" t="str">
        <f>J22</f>
        <v>PFMLA Trust Contribution</v>
      </c>
      <c r="P22" s="449">
        <f>K22</f>
        <v>6.3E-3</v>
      </c>
      <c r="Q22" s="450"/>
      <c r="R22" s="451">
        <f>R10*(P29+1)*P22</f>
        <v>2708.9666254996496</v>
      </c>
      <c r="T22" s="32" t="s">
        <v>32</v>
      </c>
      <c r="U22" s="33">
        <f>C17</f>
        <v>58863.5</v>
      </c>
      <c r="V22" s="34">
        <v>1.65</v>
      </c>
      <c r="W22" s="35">
        <f>U22*V22</f>
        <v>97124.774999999994</v>
      </c>
      <c r="AJ22" s="14"/>
      <c r="AK22" s="14"/>
      <c r="AL22" s="14"/>
      <c r="AM22" s="14"/>
      <c r="AN22" s="14"/>
      <c r="AO22" s="14"/>
      <c r="AR22" s="87"/>
      <c r="AS22" s="94"/>
      <c r="AT22" s="63"/>
      <c r="AU22" s="5"/>
      <c r="AV22" s="4"/>
      <c r="AW22" s="4"/>
      <c r="AX22" s="4"/>
      <c r="AY22" s="4"/>
      <c r="AZ22" s="4"/>
      <c r="BA22" s="4"/>
      <c r="BB22" s="4"/>
      <c r="BC22" s="4"/>
    </row>
    <row r="23" spans="1:72">
      <c r="A23" s="5"/>
      <c r="B23" s="88" t="s">
        <v>53</v>
      </c>
      <c r="C23" s="95">
        <v>0</v>
      </c>
      <c r="D23" s="95">
        <v>0</v>
      </c>
      <c r="E23" s="95">
        <v>0</v>
      </c>
      <c r="F23" s="95">
        <v>0</v>
      </c>
      <c r="G23" s="95">
        <v>6.75</v>
      </c>
      <c r="H23" s="96"/>
      <c r="I23" s="5"/>
      <c r="J23" s="32" t="str">
        <f>B36</f>
        <v>Admin Allocation</v>
      </c>
      <c r="K23" s="97">
        <f>C36</f>
        <v>0.12647885873312933</v>
      </c>
      <c r="L23" s="98"/>
      <c r="M23" s="35">
        <f>K23*M21</f>
        <v>102430.20947861075</v>
      </c>
      <c r="O23" s="32" t="s">
        <v>54</v>
      </c>
      <c r="P23" s="97">
        <f>C36</f>
        <v>0.12647885873312933</v>
      </c>
      <c r="Q23" s="98"/>
      <c r="R23" s="35">
        <f>P23*R21</f>
        <v>82121.001802889848</v>
      </c>
      <c r="T23" s="32" t="s">
        <v>33</v>
      </c>
      <c r="U23" s="33">
        <f>C18</f>
        <v>32310.666666666668</v>
      </c>
      <c r="V23" s="34">
        <v>21.53</v>
      </c>
      <c r="W23" s="35">
        <f>U23*V23</f>
        <v>695648.65333333344</v>
      </c>
      <c r="AJ23" s="14"/>
      <c r="AK23" s="14"/>
      <c r="AL23" s="14"/>
      <c r="AM23" s="14"/>
      <c r="AN23" s="14"/>
      <c r="AO23" s="14"/>
      <c r="AR23" s="87"/>
      <c r="AS23" s="5"/>
      <c r="AT23" s="99"/>
      <c r="AU23" s="5"/>
      <c r="AV23" s="4"/>
      <c r="AW23" s="4"/>
      <c r="AX23" s="4"/>
      <c r="AY23" s="4"/>
      <c r="AZ23" s="4"/>
      <c r="BA23" s="4"/>
      <c r="BB23" s="4"/>
      <c r="BC23" s="4"/>
    </row>
    <row r="24" spans="1:72" s="5" customFormat="1" ht="15.75" thickBot="1">
      <c r="B24" s="51" t="s">
        <v>48</v>
      </c>
      <c r="C24" s="95">
        <v>21.53</v>
      </c>
      <c r="D24" s="95">
        <f>10.8-D23</f>
        <v>10.8</v>
      </c>
      <c r="E24" s="95">
        <v>6.59</v>
      </c>
      <c r="F24" s="95">
        <v>5.18</v>
      </c>
      <c r="G24" s="95">
        <v>1</v>
      </c>
      <c r="H24" s="96"/>
      <c r="J24" s="100" t="s">
        <v>55</v>
      </c>
      <c r="K24" s="101"/>
      <c r="L24" s="102"/>
      <c r="M24" s="103">
        <f>SUM(M21:M23)</f>
        <v>915832.91291791049</v>
      </c>
      <c r="N24" s="4"/>
      <c r="O24" s="100" t="s">
        <v>55</v>
      </c>
      <c r="P24" s="101"/>
      <c r="Q24" s="102"/>
      <c r="R24" s="103">
        <f>SUM(R21:R23)</f>
        <v>734116.3600471291</v>
      </c>
      <c r="S24" s="4"/>
      <c r="T24" s="32" t="str">
        <f>B20</f>
        <v>Support Staff</v>
      </c>
      <c r="U24" s="33">
        <f>C20</f>
        <v>32310.666666666668</v>
      </c>
      <c r="V24" s="34">
        <v>1</v>
      </c>
      <c r="W24" s="35">
        <f>U24*V24</f>
        <v>32310.666666666668</v>
      </c>
      <c r="AC24" s="17"/>
      <c r="AI24" s="11"/>
      <c r="AJ24" s="14"/>
      <c r="AT24" s="63"/>
      <c r="AU24" s="94"/>
    </row>
    <row r="25" spans="1:72" s="5" customFormat="1" ht="16.5" thickTop="1" thickBot="1">
      <c r="B25" s="80" t="s">
        <v>152</v>
      </c>
      <c r="C25" s="105">
        <v>1</v>
      </c>
      <c r="D25" s="105">
        <v>0.5</v>
      </c>
      <c r="E25" s="105">
        <v>0.5</v>
      </c>
      <c r="F25" s="105">
        <v>0.5</v>
      </c>
      <c r="G25" s="105">
        <v>5.2</v>
      </c>
      <c r="H25" s="106"/>
      <c r="J25" s="26"/>
      <c r="K25" s="27"/>
      <c r="L25" s="107"/>
      <c r="M25" s="50"/>
      <c r="N25" s="4"/>
      <c r="O25" s="26"/>
      <c r="P25" s="27"/>
      <c r="Q25" s="107"/>
      <c r="R25" s="50"/>
      <c r="S25" s="4"/>
      <c r="T25" s="32"/>
      <c r="U25" s="33"/>
      <c r="V25" s="34"/>
      <c r="W25" s="35"/>
      <c r="AC25" s="17"/>
      <c r="AI25" s="11"/>
      <c r="AJ25" s="14"/>
      <c r="AT25" s="63"/>
      <c r="AU25" s="4"/>
    </row>
    <row r="26" spans="1:72" s="94" customFormat="1" ht="15.75" thickBot="1">
      <c r="A26" s="5"/>
      <c r="B26" s="108" t="s">
        <v>56</v>
      </c>
      <c r="C26" s="109">
        <f>SUM(C22:C25)</f>
        <v>24.18</v>
      </c>
      <c r="D26" s="109">
        <f>SUM(D22:D25)</f>
        <v>12.3</v>
      </c>
      <c r="E26" s="109">
        <f>SUM(E22:E25)</f>
        <v>7.89</v>
      </c>
      <c r="F26" s="109">
        <f>SUM(F22:F25)</f>
        <v>6.18</v>
      </c>
      <c r="G26" s="109">
        <f>SUM(G22:G25)</f>
        <v>13.95</v>
      </c>
      <c r="H26" s="110"/>
      <c r="I26" s="5"/>
      <c r="J26" s="111" t="s">
        <v>57</v>
      </c>
      <c r="K26" s="112"/>
      <c r="L26" s="113"/>
      <c r="M26" s="519">
        <f>M24/M4</f>
        <v>183.16658258358211</v>
      </c>
      <c r="N26" s="4"/>
      <c r="O26" s="111" t="s">
        <v>57</v>
      </c>
      <c r="P26" s="113"/>
      <c r="Q26" s="113"/>
      <c r="R26" s="519">
        <f>R24/R4</f>
        <v>146.82327200942581</v>
      </c>
      <c r="S26" s="4"/>
      <c r="T26" s="46" t="s">
        <v>37</v>
      </c>
      <c r="U26" s="47"/>
      <c r="V26" s="48">
        <f>SUM(V22:V25)</f>
        <v>24.18</v>
      </c>
      <c r="W26" s="49">
        <f>SUM(W22:W25)</f>
        <v>825084.09500000009</v>
      </c>
      <c r="AC26" s="11"/>
      <c r="AI26" s="71"/>
      <c r="AJ26" s="14"/>
      <c r="AR26" s="5"/>
      <c r="AS26" s="5"/>
      <c r="AT26" s="63"/>
      <c r="AU26" s="5"/>
    </row>
    <row r="27" spans="1:72" ht="15" customHeight="1" thickTop="1">
      <c r="A27" s="94"/>
      <c r="B27" s="554" t="s">
        <v>58</v>
      </c>
      <c r="C27" s="85" t="s">
        <v>8</v>
      </c>
      <c r="D27" s="85" t="s">
        <v>9</v>
      </c>
      <c r="E27" s="85" t="s">
        <v>10</v>
      </c>
      <c r="F27" s="85" t="s">
        <v>11</v>
      </c>
      <c r="G27" s="85"/>
      <c r="H27" s="86"/>
      <c r="I27" s="94"/>
      <c r="J27" s="61" t="s">
        <v>59</v>
      </c>
      <c r="K27" s="115"/>
      <c r="L27" s="116"/>
      <c r="M27" s="117">
        <f>M26/6</f>
        <v>30.527763763930352</v>
      </c>
      <c r="O27" s="61" t="s">
        <v>59</v>
      </c>
      <c r="P27" s="115"/>
      <c r="Q27" s="116"/>
      <c r="R27" s="117">
        <f>R26/6</f>
        <v>24.470545334904301</v>
      </c>
      <c r="T27" s="26"/>
      <c r="U27" s="27"/>
      <c r="V27" s="37"/>
      <c r="W27" s="50"/>
      <c r="AC27" s="17"/>
      <c r="AI27" s="71"/>
      <c r="AJ27" s="5"/>
      <c r="AK27" s="71"/>
      <c r="AL27" s="11"/>
      <c r="AM27" s="118"/>
      <c r="AN27" s="119"/>
      <c r="AO27" s="71"/>
      <c r="BB27" s="4"/>
      <c r="BC27" s="4"/>
    </row>
    <row r="28" spans="1:72" ht="15.75" thickBot="1">
      <c r="B28" s="555"/>
      <c r="C28" s="120">
        <f>[1]Analysis!E55</f>
        <v>1</v>
      </c>
      <c r="D28" s="121">
        <v>1</v>
      </c>
      <c r="E28" s="121">
        <v>0.8</v>
      </c>
      <c r="F28" s="120">
        <v>0.8</v>
      </c>
      <c r="G28" s="121">
        <v>1</v>
      </c>
      <c r="H28" s="122"/>
      <c r="J28" s="61" t="s">
        <v>60</v>
      </c>
      <c r="K28" s="115"/>
      <c r="L28" s="116"/>
      <c r="M28" s="123">
        <f>M27/4</f>
        <v>7.631940940982588</v>
      </c>
      <c r="O28" s="61" t="s">
        <v>60</v>
      </c>
      <c r="P28" s="115"/>
      <c r="Q28" s="116"/>
      <c r="R28" s="123">
        <f>R27/4</f>
        <v>6.1176363337260753</v>
      </c>
      <c r="T28" s="51" t="s">
        <v>40</v>
      </c>
      <c r="U28" s="52">
        <f>$C$31</f>
        <v>0.23105972742020292</v>
      </c>
      <c r="V28" s="53"/>
      <c r="W28" s="35">
        <f>U28*W26</f>
        <v>190643.70608944484</v>
      </c>
      <c r="AC28" s="36"/>
      <c r="AI28" s="71"/>
      <c r="AJ28" s="5"/>
      <c r="AN28" s="124"/>
      <c r="AT28" s="17"/>
      <c r="AZ28" s="11"/>
      <c r="BA28" s="8"/>
      <c r="BB28" s="12"/>
      <c r="BC28" s="9"/>
      <c r="BD28" s="10"/>
      <c r="BE28" s="9"/>
      <c r="BF28" s="125"/>
      <c r="BG28" s="14"/>
      <c r="BH28" s="14"/>
      <c r="BI28" s="14"/>
      <c r="BJ28" s="14"/>
      <c r="BK28" s="14"/>
      <c r="BL28" s="14"/>
      <c r="BM28" s="14"/>
      <c r="BN28" s="14"/>
      <c r="BO28" s="5"/>
      <c r="BP28" s="5"/>
      <c r="BQ28" s="63"/>
      <c r="BR28" s="77"/>
      <c r="BS28" s="5"/>
    </row>
    <row r="29" spans="1:72" ht="15.75" thickBot="1">
      <c r="B29" s="126" t="s">
        <v>5</v>
      </c>
      <c r="C29" s="127">
        <v>20</v>
      </c>
      <c r="D29" s="128" t="s">
        <v>6</v>
      </c>
      <c r="E29" s="129">
        <v>250</v>
      </c>
      <c r="F29" s="130" t="s">
        <v>7</v>
      </c>
      <c r="G29" s="129">
        <f>C29*E29</f>
        <v>5000</v>
      </c>
      <c r="H29" s="131"/>
      <c r="J29" s="132" t="s">
        <v>61</v>
      </c>
      <c r="K29" s="133">
        <f>C38</f>
        <v>1.4200561009817744E-2</v>
      </c>
      <c r="L29" s="134"/>
      <c r="M29" s="135">
        <f>M28*(1+K29)+0.01</f>
        <v>7.7503187839383365</v>
      </c>
      <c r="O29" s="132" t="s">
        <v>61</v>
      </c>
      <c r="P29" s="133">
        <f>C38</f>
        <v>1.4200561009817744E-2</v>
      </c>
      <c r="Q29" s="134"/>
      <c r="R29" s="135">
        <f>R28*(1+P29)</f>
        <v>6.2045102017190299</v>
      </c>
      <c r="T29" s="54" t="s">
        <v>41</v>
      </c>
      <c r="U29" s="55"/>
      <c r="V29" s="56"/>
      <c r="W29" s="57">
        <f>W28+W26</f>
        <v>1015727.8010894449</v>
      </c>
      <c r="Y29" s="531" t="s">
        <v>62</v>
      </c>
      <c r="Z29" s="532" t="s">
        <v>63</v>
      </c>
      <c r="AA29" s="532"/>
      <c r="AB29" s="533"/>
      <c r="AC29" s="4"/>
      <c r="AD29" s="531" t="s">
        <v>42</v>
      </c>
      <c r="AE29" s="532" t="s">
        <v>64</v>
      </c>
      <c r="AF29" s="532"/>
      <c r="AG29" s="533"/>
      <c r="AI29" s="71"/>
      <c r="AJ29" s="94"/>
      <c r="AN29" s="4"/>
      <c r="AT29" s="11"/>
      <c r="AZ29" s="11"/>
      <c r="BA29" s="8"/>
      <c r="BB29" s="12"/>
      <c r="BC29" s="9"/>
      <c r="BD29" s="10"/>
      <c r="BE29" s="9"/>
      <c r="BF29" s="125"/>
      <c r="BG29" s="14"/>
      <c r="BH29" s="14"/>
      <c r="BI29" s="14"/>
      <c r="BJ29" s="14"/>
      <c r="BK29" s="14"/>
      <c r="BL29" s="14"/>
      <c r="BM29" s="14"/>
      <c r="BN29" s="14"/>
      <c r="BO29" s="5"/>
      <c r="BP29" s="5"/>
      <c r="BQ29" s="63"/>
      <c r="BR29" s="77"/>
      <c r="BS29" s="5"/>
      <c r="BT29" s="5"/>
    </row>
    <row r="30" spans="1:72" ht="15.75" thickBot="1">
      <c r="B30" s="535" t="s">
        <v>65</v>
      </c>
      <c r="C30" s="536"/>
      <c r="D30" s="136"/>
      <c r="E30" s="137"/>
      <c r="F30" s="137"/>
      <c r="G30" s="137"/>
      <c r="H30" s="138"/>
      <c r="J30" s="37"/>
      <c r="K30" s="71"/>
      <c r="L30" s="71"/>
      <c r="M30" s="498"/>
      <c r="R30" s="497"/>
      <c r="T30" s="61"/>
      <c r="U30" s="62"/>
      <c r="V30" s="28" t="s">
        <v>43</v>
      </c>
      <c r="W30" s="35"/>
      <c r="Y30" s="19" t="s">
        <v>19</v>
      </c>
      <c r="Z30" s="20"/>
      <c r="AA30" s="21" t="s">
        <v>20</v>
      </c>
      <c r="AB30" s="22">
        <f>$G$29</f>
        <v>5000</v>
      </c>
      <c r="AC30" s="4"/>
      <c r="AD30" s="19" t="s">
        <v>19</v>
      </c>
      <c r="AE30" s="20"/>
      <c r="AF30" s="21" t="s">
        <v>20</v>
      </c>
      <c r="AG30" s="22">
        <f>$G$29</f>
        <v>5000</v>
      </c>
      <c r="AJ30" s="71"/>
      <c r="AN30" s="139"/>
      <c r="AT30" s="11"/>
      <c r="AZ30" s="11"/>
      <c r="BA30" s="8"/>
      <c r="BB30" s="12"/>
      <c r="BC30" s="9"/>
      <c r="BD30" s="10"/>
      <c r="BE30" s="9"/>
      <c r="BF30" s="13"/>
      <c r="BG30" s="14"/>
      <c r="BH30" s="14"/>
      <c r="BI30" s="14"/>
      <c r="BJ30" s="14"/>
      <c r="BK30" s="14"/>
      <c r="BL30" s="14"/>
      <c r="BM30" s="14"/>
      <c r="BN30" s="14"/>
      <c r="BO30" s="5"/>
      <c r="BP30" s="5"/>
      <c r="BQ30" s="63"/>
      <c r="BR30" s="5"/>
      <c r="BS30" s="5"/>
      <c r="BT30" s="5"/>
    </row>
    <row r="31" spans="1:72" ht="18" customHeight="1" thickBot="1">
      <c r="B31" s="51" t="s">
        <v>66</v>
      </c>
      <c r="C31" s="140">
        <f>'[1]T &amp; F,M &amp; G'!H89</f>
        <v>0.23105972742020292</v>
      </c>
      <c r="D31" s="74" t="s">
        <v>67</v>
      </c>
      <c r="E31" s="70"/>
      <c r="F31" s="71"/>
      <c r="G31" s="71"/>
      <c r="H31" s="72"/>
      <c r="J31" s="531" t="s">
        <v>307</v>
      </c>
      <c r="K31" s="532" t="s">
        <v>69</v>
      </c>
      <c r="L31" s="532"/>
      <c r="M31" s="533"/>
      <c r="O31" s="531" t="s">
        <v>308</v>
      </c>
      <c r="P31" s="532" t="s">
        <v>71</v>
      </c>
      <c r="Q31" s="532"/>
      <c r="R31" s="533"/>
      <c r="T31" s="64" t="s">
        <v>0</v>
      </c>
      <c r="U31" s="62"/>
      <c r="V31" s="65">
        <f>C32</f>
        <v>11.11</v>
      </c>
      <c r="W31" s="35">
        <f t="shared" ref="W31:W34" si="3">V31*$R$4</f>
        <v>55550</v>
      </c>
      <c r="Y31" s="26"/>
      <c r="Z31" s="27" t="s">
        <v>27</v>
      </c>
      <c r="AA31" s="28" t="s">
        <v>28</v>
      </c>
      <c r="AB31" s="29" t="s">
        <v>29</v>
      </c>
      <c r="AC31" s="4"/>
      <c r="AD31" s="26"/>
      <c r="AE31" s="27" t="s">
        <v>27</v>
      </c>
      <c r="AF31" s="28" t="s">
        <v>28</v>
      </c>
      <c r="AG31" s="29" t="s">
        <v>29</v>
      </c>
      <c r="AN31" s="141"/>
      <c r="AT31" s="11"/>
      <c r="AZ31" s="141"/>
      <c r="BA31" s="8"/>
      <c r="BB31" s="12"/>
      <c r="BC31" s="9"/>
      <c r="BD31" s="10"/>
      <c r="BE31" s="9"/>
      <c r="BF31" s="142"/>
      <c r="BG31" s="14"/>
      <c r="BH31" s="14"/>
      <c r="BI31" s="14"/>
      <c r="BJ31" s="14"/>
      <c r="BK31" s="14"/>
      <c r="BL31" s="14"/>
      <c r="BM31" s="14"/>
      <c r="BN31" s="14"/>
      <c r="BO31" s="5"/>
      <c r="BP31" s="5"/>
      <c r="BQ31" s="63"/>
      <c r="BR31" s="5"/>
      <c r="BS31" s="5"/>
      <c r="BT31" s="5"/>
    </row>
    <row r="32" spans="1:72" ht="15.75" customHeight="1">
      <c r="B32" s="64" t="s">
        <v>0</v>
      </c>
      <c r="C32" s="143">
        <v>11.11</v>
      </c>
      <c r="D32" s="144" t="s">
        <v>150</v>
      </c>
      <c r="E32" s="145"/>
      <c r="F32" s="146"/>
      <c r="G32" s="70"/>
      <c r="H32" s="72"/>
      <c r="J32" s="19" t="s">
        <v>19</v>
      </c>
      <c r="K32" s="20"/>
      <c r="L32" s="21" t="s">
        <v>20</v>
      </c>
      <c r="M32" s="22">
        <f>$G$29</f>
        <v>5000</v>
      </c>
      <c r="O32" s="19" t="s">
        <v>19</v>
      </c>
      <c r="P32" s="20"/>
      <c r="Q32" s="21" t="s">
        <v>20</v>
      </c>
      <c r="R32" s="22">
        <f>$G$29</f>
        <v>5000</v>
      </c>
      <c r="T32" s="64" t="s">
        <v>2</v>
      </c>
      <c r="U32" s="62"/>
      <c r="V32" s="65">
        <f>C33</f>
        <v>1.27</v>
      </c>
      <c r="W32" s="35">
        <f t="shared" si="3"/>
        <v>6350</v>
      </c>
      <c r="Y32" s="32" t="str">
        <f t="shared" ref="Y32:Z33" si="4">B17</f>
        <v>Management</v>
      </c>
      <c r="Z32" s="33">
        <f t="shared" si="4"/>
        <v>58863.5</v>
      </c>
      <c r="AA32" s="34">
        <f>G22</f>
        <v>1</v>
      </c>
      <c r="AB32" s="35">
        <f>Z32*AA32</f>
        <v>58863.5</v>
      </c>
      <c r="AC32" s="4"/>
      <c r="AD32" s="32" t="str">
        <f t="shared" ref="AD32:AE33" si="5">B17</f>
        <v>Management</v>
      </c>
      <c r="AE32" s="33">
        <f t="shared" si="5"/>
        <v>58863.5</v>
      </c>
      <c r="AF32" s="34">
        <f>H22</f>
        <v>0</v>
      </c>
      <c r="AG32" s="35">
        <f>AE32*AF32</f>
        <v>0</v>
      </c>
      <c r="AN32" s="71"/>
      <c r="AT32" s="11"/>
      <c r="AZ32" s="141"/>
      <c r="BA32" s="8"/>
      <c r="BB32" s="12"/>
      <c r="BC32" s="9"/>
      <c r="BD32" s="10"/>
      <c r="BE32" s="9"/>
      <c r="BF32" s="147"/>
      <c r="BG32" s="14"/>
      <c r="BH32" s="14"/>
      <c r="BI32" s="14"/>
      <c r="BJ32" s="14"/>
      <c r="BK32" s="14"/>
      <c r="BL32" s="14"/>
      <c r="BM32" s="14"/>
      <c r="BN32" s="14"/>
      <c r="BO32" s="5"/>
      <c r="BP32" s="5"/>
      <c r="BQ32" s="63"/>
      <c r="BR32" s="94"/>
      <c r="BS32" s="5"/>
      <c r="BT32" s="5"/>
    </row>
    <row r="33" spans="2:61">
      <c r="B33" s="64" t="s">
        <v>2</v>
      </c>
      <c r="C33" s="143">
        <v>1.27</v>
      </c>
      <c r="D33" s="144" t="s">
        <v>150</v>
      </c>
      <c r="E33" s="148"/>
      <c r="F33" s="146"/>
      <c r="G33" s="70"/>
      <c r="H33" s="72"/>
      <c r="J33" s="26"/>
      <c r="K33" s="27" t="s">
        <v>27</v>
      </c>
      <c r="L33" s="28" t="s">
        <v>28</v>
      </c>
      <c r="M33" s="29" t="s">
        <v>29</v>
      </c>
      <c r="O33" s="26"/>
      <c r="P33" s="27" t="s">
        <v>27</v>
      </c>
      <c r="Q33" s="28" t="s">
        <v>28</v>
      </c>
      <c r="R33" s="29" t="s">
        <v>29</v>
      </c>
      <c r="T33" s="64" t="s">
        <v>3</v>
      </c>
      <c r="U33" s="62"/>
      <c r="V33" s="65">
        <f>C34</f>
        <v>6</v>
      </c>
      <c r="W33" s="35">
        <f t="shared" si="3"/>
        <v>30000</v>
      </c>
      <c r="X33" s="11"/>
      <c r="Y33" s="32" t="str">
        <f t="shared" si="4"/>
        <v>Direct Care</v>
      </c>
      <c r="Z33" s="33">
        <f t="shared" si="4"/>
        <v>32310.666666666668</v>
      </c>
      <c r="AA33" s="34">
        <f>G24</f>
        <v>1</v>
      </c>
      <c r="AB33" s="35">
        <f>Z33*AA33</f>
        <v>32310.666666666668</v>
      </c>
      <c r="AC33" s="4"/>
      <c r="AD33" s="32" t="str">
        <f t="shared" si="5"/>
        <v>Direct Care</v>
      </c>
      <c r="AE33" s="33">
        <f t="shared" si="5"/>
        <v>32310.666666666668</v>
      </c>
      <c r="AF33" s="34">
        <f>H24</f>
        <v>0</v>
      </c>
      <c r="AG33" s="35">
        <f>AE33*AF33</f>
        <v>0</v>
      </c>
      <c r="AH33" s="14"/>
      <c r="AJ33" s="14"/>
      <c r="AK33" s="14"/>
      <c r="AL33" s="14"/>
      <c r="AM33" s="5"/>
      <c r="AN33" s="5"/>
      <c r="AO33" s="71"/>
      <c r="AP33" s="8"/>
      <c r="AQ33" s="12"/>
      <c r="AR33" s="9"/>
      <c r="AS33" s="10"/>
      <c r="AT33" s="9"/>
      <c r="AU33" s="147"/>
      <c r="AX33" s="14"/>
      <c r="AY33" s="14"/>
      <c r="AZ33" s="14"/>
      <c r="BA33" s="14"/>
      <c r="BB33" s="14"/>
      <c r="BC33" s="14"/>
      <c r="BD33" s="5"/>
      <c r="BE33" s="5"/>
      <c r="BF33" s="63"/>
      <c r="BG33" s="5"/>
      <c r="BH33" s="5"/>
      <c r="BI33" s="5"/>
    </row>
    <row r="34" spans="2:61">
      <c r="B34" s="64" t="s">
        <v>312</v>
      </c>
      <c r="C34" s="143">
        <v>6</v>
      </c>
      <c r="D34" s="144" t="s">
        <v>313</v>
      </c>
      <c r="E34" s="148"/>
      <c r="F34" s="146"/>
      <c r="G34" s="70"/>
      <c r="H34" s="520"/>
      <c r="J34" s="32" t="s">
        <v>32</v>
      </c>
      <c r="K34" s="33">
        <f>C17</f>
        <v>58863.5</v>
      </c>
      <c r="L34" s="34">
        <f>E22</f>
        <v>0.8</v>
      </c>
      <c r="M34" s="35">
        <f>K34*L34</f>
        <v>47090.8</v>
      </c>
      <c r="O34" s="32" t="str">
        <f>B17</f>
        <v>Management</v>
      </c>
      <c r="P34" s="33">
        <f>C17</f>
        <v>58863.5</v>
      </c>
      <c r="Q34" s="34">
        <f>F22</f>
        <v>0.5</v>
      </c>
      <c r="R34" s="35">
        <f>P34*Q34</f>
        <v>29431.75</v>
      </c>
      <c r="T34" s="64" t="s">
        <v>1</v>
      </c>
      <c r="U34" s="62"/>
      <c r="V34" s="75">
        <f>C35</f>
        <v>7.0898067420324296</v>
      </c>
      <c r="W34" s="76">
        <f t="shared" si="3"/>
        <v>35449.033710162148</v>
      </c>
      <c r="X34" s="11"/>
      <c r="Y34" s="32" t="str">
        <f>B20</f>
        <v>Support Staff</v>
      </c>
      <c r="Z34" s="33">
        <f>C20</f>
        <v>32310.666666666668</v>
      </c>
      <c r="AA34" s="34">
        <f>G25</f>
        <v>5.2</v>
      </c>
      <c r="AB34" s="35">
        <f>Z34*AA34</f>
        <v>168015.46666666667</v>
      </c>
      <c r="AC34" s="4"/>
      <c r="AD34" s="32" t="str">
        <f>B20</f>
        <v>Support Staff</v>
      </c>
      <c r="AE34" s="33">
        <f>C20</f>
        <v>32310.666666666668</v>
      </c>
      <c r="AF34" s="34">
        <f>H25</f>
        <v>0</v>
      </c>
      <c r="AG34" s="35">
        <f>AE34*AF34</f>
        <v>0</v>
      </c>
      <c r="AH34" s="14"/>
      <c r="AJ34" s="14"/>
      <c r="AK34" s="14"/>
      <c r="AL34" s="14"/>
      <c r="AM34" s="5"/>
      <c r="AN34" s="5"/>
      <c r="AO34" s="141"/>
      <c r="AP34" s="8"/>
      <c r="AQ34" s="12"/>
      <c r="AR34" s="9"/>
      <c r="AS34" s="10"/>
      <c r="AT34" s="9"/>
      <c r="AU34" s="149"/>
      <c r="AX34" s="14"/>
      <c r="AY34" s="14"/>
      <c r="AZ34" s="14"/>
      <c r="BA34" s="14"/>
      <c r="BB34" s="14"/>
      <c r="BC34" s="14"/>
      <c r="BD34" s="5"/>
      <c r="BE34" s="5"/>
      <c r="BF34" s="63"/>
      <c r="BG34" s="5"/>
      <c r="BH34" s="5"/>
      <c r="BI34" s="5"/>
    </row>
    <row r="35" spans="2:61" ht="15" customHeight="1">
      <c r="B35" s="64" t="s">
        <v>1</v>
      </c>
      <c r="C35" s="143">
        <f>'Transportation Model'!C14</f>
        <v>7.0898067420324296</v>
      </c>
      <c r="D35" s="144" t="s">
        <v>151</v>
      </c>
      <c r="E35" s="148"/>
      <c r="F35" s="146"/>
      <c r="G35" s="70"/>
      <c r="H35" s="72"/>
      <c r="J35" s="150" t="s">
        <v>33</v>
      </c>
      <c r="K35" s="33">
        <f>C18</f>
        <v>32310.666666666668</v>
      </c>
      <c r="L35" s="34">
        <f>E24</f>
        <v>6.59</v>
      </c>
      <c r="M35" s="35">
        <f>K35*L35</f>
        <v>212927.29333333333</v>
      </c>
      <c r="O35" s="150" t="str">
        <f>B18</f>
        <v>Direct Care</v>
      </c>
      <c r="P35" s="33">
        <f>C18</f>
        <v>32310.666666666668</v>
      </c>
      <c r="Q35" s="34">
        <f>F24</f>
        <v>5.18</v>
      </c>
      <c r="R35" s="35">
        <f>P35*Q35</f>
        <v>167369.25333333333</v>
      </c>
      <c r="T35" s="32"/>
      <c r="U35" s="62"/>
      <c r="V35" s="78">
        <f>SUM(V31:V34)</f>
        <v>25.469806742032429</v>
      </c>
      <c r="W35" s="79">
        <f>SUM(W31:W34)</f>
        <v>127349.03371016216</v>
      </c>
      <c r="X35" s="11"/>
      <c r="Y35" s="46" t="s">
        <v>37</v>
      </c>
      <c r="Z35" s="47"/>
      <c r="AA35" s="48">
        <f>SUM(AA32:AA34)</f>
        <v>7.2</v>
      </c>
      <c r="AB35" s="49">
        <f>SUM(AB32:AB34)</f>
        <v>259189.63333333336</v>
      </c>
      <c r="AC35" s="4"/>
      <c r="AD35" s="46" t="s">
        <v>37</v>
      </c>
      <c r="AE35" s="47"/>
      <c r="AF35" s="48">
        <f>SUM(AF32:AF34)</f>
        <v>0</v>
      </c>
      <c r="AG35" s="49">
        <f>SUM(AG32:AG34)</f>
        <v>0</v>
      </c>
      <c r="AH35" s="14"/>
      <c r="AJ35" s="14"/>
      <c r="AK35" s="14"/>
      <c r="AL35" s="14"/>
      <c r="AM35" s="5"/>
      <c r="AN35" s="5"/>
      <c r="AO35" s="141"/>
      <c r="AP35" s="8"/>
      <c r="AQ35" s="12"/>
      <c r="AR35" s="9"/>
      <c r="AS35" s="10"/>
      <c r="AT35" s="9"/>
      <c r="AU35" s="151"/>
      <c r="AX35" s="14"/>
      <c r="AY35" s="14"/>
      <c r="AZ35" s="14"/>
      <c r="BA35" s="14"/>
      <c r="BB35" s="14"/>
      <c r="BC35" s="14"/>
      <c r="BD35" s="5"/>
      <c r="BE35" s="5"/>
      <c r="BF35" s="63"/>
      <c r="BG35" s="5"/>
      <c r="BH35" s="5"/>
      <c r="BI35" s="5"/>
    </row>
    <row r="36" spans="2:61">
      <c r="B36" s="51" t="s">
        <v>72</v>
      </c>
      <c r="C36" s="140">
        <f>'[1]T &amp; F,M &amp; G'!M89</f>
        <v>0.12647885873312933</v>
      </c>
      <c r="D36" s="74" t="s">
        <v>67</v>
      </c>
      <c r="E36" s="145"/>
      <c r="F36" s="146"/>
      <c r="G36" s="70"/>
      <c r="H36" s="259"/>
      <c r="J36" s="32" t="str">
        <f>B20</f>
        <v>Support Staff</v>
      </c>
      <c r="K36" s="33">
        <f>C20</f>
        <v>32310.666666666668</v>
      </c>
      <c r="L36" s="34">
        <f>E25</f>
        <v>0.5</v>
      </c>
      <c r="M36" s="35">
        <f>K36*L36</f>
        <v>16155.333333333334</v>
      </c>
      <c r="O36" s="32" t="str">
        <f>B20</f>
        <v>Support Staff</v>
      </c>
      <c r="P36" s="33">
        <f>C20</f>
        <v>32310.666666666668</v>
      </c>
      <c r="Q36" s="34">
        <v>0.5</v>
      </c>
      <c r="R36" s="35">
        <f>P36*Q36</f>
        <v>16155.333333333334</v>
      </c>
      <c r="T36" s="61"/>
      <c r="U36" s="62"/>
      <c r="V36" s="83"/>
      <c r="W36" s="35"/>
      <c r="X36" s="11"/>
      <c r="Y36" s="26"/>
      <c r="Z36" s="27"/>
      <c r="AA36" s="37"/>
      <c r="AB36" s="50"/>
      <c r="AC36" s="4"/>
      <c r="AD36" s="26"/>
      <c r="AE36" s="27"/>
      <c r="AF36" s="37"/>
      <c r="AG36" s="50"/>
      <c r="AH36" s="14"/>
      <c r="AJ36" s="14"/>
      <c r="AK36" s="14"/>
      <c r="AL36" s="14"/>
      <c r="AM36" s="5"/>
      <c r="AN36" s="5"/>
      <c r="AO36" s="141"/>
      <c r="AP36" s="8"/>
      <c r="AQ36" s="12"/>
      <c r="AR36" s="9"/>
      <c r="AS36" s="10"/>
      <c r="AT36" s="9"/>
      <c r="AU36" s="140"/>
      <c r="AX36" s="14"/>
      <c r="AY36" s="14"/>
      <c r="AZ36" s="14"/>
      <c r="BA36" s="14"/>
      <c r="BB36" s="14"/>
      <c r="BC36" s="14"/>
      <c r="BD36" s="5"/>
      <c r="BE36" s="63"/>
      <c r="BF36" s="5"/>
      <c r="BG36" s="5"/>
      <c r="BH36" s="5"/>
    </row>
    <row r="37" spans="2:61">
      <c r="B37" s="442" t="s">
        <v>201</v>
      </c>
      <c r="C37" s="443">
        <v>6.3E-3</v>
      </c>
      <c r="D37" s="444" t="s">
        <v>200</v>
      </c>
      <c r="E37" s="445"/>
      <c r="F37" s="441"/>
      <c r="G37" s="81"/>
      <c r="H37" s="153"/>
      <c r="J37" s="46" t="s">
        <v>37</v>
      </c>
      <c r="K37" s="47"/>
      <c r="L37" s="48">
        <f>SUM(L34:L36)</f>
        <v>7.89</v>
      </c>
      <c r="M37" s="49">
        <f>SUM(M34:M36)</f>
        <v>276173.42666666664</v>
      </c>
      <c r="O37" s="46" t="s">
        <v>37</v>
      </c>
      <c r="P37" s="47"/>
      <c r="Q37" s="48">
        <f>SUM(Q34:Q36)</f>
        <v>6.18</v>
      </c>
      <c r="R37" s="49">
        <f>SUM(R34:R36)</f>
        <v>212956.33666666667</v>
      </c>
      <c r="T37" s="46" t="s">
        <v>52</v>
      </c>
      <c r="U37" s="47"/>
      <c r="V37" s="48"/>
      <c r="W37" s="49">
        <f>W29+W35</f>
        <v>1143076.8347996071</v>
      </c>
      <c r="X37" s="11"/>
      <c r="Y37" s="51" t="str">
        <f>B31</f>
        <v>Tax &amp; Fringe</v>
      </c>
      <c r="Z37" s="52">
        <f>$C$31</f>
        <v>0.23105972742020292</v>
      </c>
      <c r="AA37" s="53"/>
      <c r="AB37" s="35">
        <f>Z37*AB35</f>
        <v>59888.286028142349</v>
      </c>
      <c r="AC37" s="4"/>
      <c r="AD37" s="51" t="s">
        <v>40</v>
      </c>
      <c r="AE37" s="52">
        <f>$C$31</f>
        <v>0.23105972742020292</v>
      </c>
      <c r="AF37" s="53"/>
      <c r="AG37" s="35">
        <f>AE37*AG35</f>
        <v>0</v>
      </c>
      <c r="AH37" s="14"/>
      <c r="AJ37" s="14"/>
      <c r="AK37" s="14"/>
      <c r="AL37" s="14"/>
      <c r="AM37" s="5"/>
      <c r="AN37" s="5"/>
      <c r="AO37" s="141"/>
      <c r="AP37" s="8"/>
      <c r="AQ37" s="12"/>
      <c r="AR37" s="9"/>
      <c r="AS37" s="10"/>
      <c r="AT37" s="9"/>
      <c r="AU37" s="154"/>
      <c r="AX37" s="14"/>
      <c r="AY37" s="14"/>
      <c r="AZ37" s="14"/>
      <c r="BA37" s="14"/>
      <c r="BB37" s="14"/>
      <c r="BC37" s="14"/>
      <c r="BD37" s="5"/>
      <c r="BE37" s="63"/>
      <c r="BF37" s="5"/>
      <c r="BG37" s="5"/>
      <c r="BH37" s="5"/>
    </row>
    <row r="38" spans="2:61" ht="15.75" thickBot="1">
      <c r="B38" s="155" t="s">
        <v>73</v>
      </c>
      <c r="C38" s="240">
        <f>'Fall 2018'!BQ26</f>
        <v>1.4200561009817744E-2</v>
      </c>
      <c r="D38" s="156" t="s">
        <v>305</v>
      </c>
      <c r="E38" s="157"/>
      <c r="F38" s="158"/>
      <c r="G38" s="159"/>
      <c r="H38" s="160"/>
      <c r="J38" s="26"/>
      <c r="K38" s="27"/>
      <c r="L38" s="37"/>
      <c r="M38" s="50"/>
      <c r="O38" s="26"/>
      <c r="P38" s="27"/>
      <c r="Q38" s="37"/>
      <c r="R38" s="50"/>
      <c r="T38" s="446" t="str">
        <f>J22</f>
        <v>PFMLA Trust Contribution</v>
      </c>
      <c r="U38" s="447">
        <f>K22</f>
        <v>6.3E-3</v>
      </c>
      <c r="V38" s="93"/>
      <c r="W38" s="451">
        <f>W26*(U45+1)*U38</f>
        <v>5271.8447377844504</v>
      </c>
      <c r="X38" s="11"/>
      <c r="Y38" s="54" t="s">
        <v>41</v>
      </c>
      <c r="Z38" s="55"/>
      <c r="AA38" s="56"/>
      <c r="AB38" s="57">
        <f>AB37+AB35</f>
        <v>319077.91936147574</v>
      </c>
      <c r="AC38" s="4"/>
      <c r="AD38" s="54" t="s">
        <v>41</v>
      </c>
      <c r="AE38" s="55"/>
      <c r="AF38" s="56"/>
      <c r="AG38" s="57">
        <f>AG37+AG35</f>
        <v>0</v>
      </c>
      <c r="AH38" s="14"/>
      <c r="AJ38" s="14"/>
      <c r="AK38" s="14"/>
      <c r="AL38" s="14"/>
      <c r="AM38" s="5"/>
      <c r="AN38" s="5"/>
      <c r="AO38" s="141"/>
      <c r="AP38" s="8"/>
      <c r="AQ38" s="12"/>
      <c r="AR38" s="9"/>
      <c r="AS38" s="10"/>
      <c r="AT38" s="9"/>
      <c r="AU38" s="154"/>
      <c r="AX38" s="14"/>
      <c r="AY38" s="14"/>
      <c r="AZ38" s="14"/>
      <c r="BA38" s="14"/>
      <c r="BB38" s="14"/>
      <c r="BC38" s="14"/>
      <c r="BD38" s="5"/>
      <c r="BE38" s="63"/>
      <c r="BF38" s="5"/>
      <c r="BG38" s="5"/>
      <c r="BH38" s="5"/>
    </row>
    <row r="39" spans="2:61">
      <c r="B39" s="5"/>
      <c r="C39" s="161"/>
      <c r="D39" s="5"/>
      <c r="E39" s="5"/>
      <c r="F39" s="71"/>
      <c r="J39" s="88" t="s">
        <v>40</v>
      </c>
      <c r="K39" s="52">
        <f>$C$31</f>
        <v>0.23105972742020292</v>
      </c>
      <c r="L39" s="53"/>
      <c r="M39" s="35">
        <f>K39*M37</f>
        <v>63812.556686303396</v>
      </c>
      <c r="O39" s="88" t="str">
        <f>B31</f>
        <v>Tax &amp; Fringe</v>
      </c>
      <c r="P39" s="52">
        <f>$C$31</f>
        <v>0.23105972742020292</v>
      </c>
      <c r="Q39" s="53"/>
      <c r="R39" s="35">
        <f>P39*R37</f>
        <v>49205.633102604967</v>
      </c>
      <c r="T39" s="32" t="s">
        <v>54</v>
      </c>
      <c r="U39" s="97">
        <f>C36</f>
        <v>0.12647885873312933</v>
      </c>
      <c r="V39" s="98"/>
      <c r="W39" s="35">
        <f>U39*W37</f>
        <v>144575.05350973213</v>
      </c>
      <c r="X39" s="11"/>
      <c r="Y39" s="61"/>
      <c r="Z39" s="62"/>
      <c r="AA39" s="28" t="s">
        <v>43</v>
      </c>
      <c r="AB39" s="35"/>
      <c r="AC39" s="4"/>
      <c r="AD39" s="61"/>
      <c r="AE39" s="62"/>
      <c r="AF39" s="28" t="s">
        <v>43</v>
      </c>
      <c r="AG39" s="35"/>
      <c r="AH39" s="14"/>
      <c r="AJ39" s="14"/>
      <c r="AK39" s="14"/>
      <c r="AL39" s="14"/>
      <c r="AM39" s="5"/>
      <c r="AN39" s="5"/>
      <c r="AO39" s="141"/>
      <c r="AP39" s="8"/>
      <c r="AQ39" s="12"/>
      <c r="AR39" s="9"/>
      <c r="AS39" s="10"/>
      <c r="AT39" s="9"/>
      <c r="AU39" s="154"/>
      <c r="AX39" s="14"/>
      <c r="AY39" s="14"/>
      <c r="AZ39" s="14"/>
      <c r="BA39" s="14"/>
      <c r="BB39" s="14"/>
      <c r="BC39" s="14"/>
      <c r="BD39" s="5"/>
      <c r="BE39" s="63"/>
      <c r="BF39" s="5"/>
      <c r="BG39" s="5"/>
      <c r="BH39" s="5"/>
    </row>
    <row r="40" spans="2:61" ht="15.75" thickBot="1">
      <c r="B40" s="162"/>
      <c r="C40" s="163"/>
      <c r="D40" s="164"/>
      <c r="E40" s="165"/>
      <c r="F40" s="166"/>
      <c r="G40" s="167"/>
      <c r="H40" s="168"/>
      <c r="J40" s="54" t="s">
        <v>41</v>
      </c>
      <c r="K40" s="55"/>
      <c r="L40" s="56"/>
      <c r="M40" s="57">
        <f>M39+M37</f>
        <v>339985.98335297004</v>
      </c>
      <c r="O40" s="54" t="s">
        <v>41</v>
      </c>
      <c r="P40" s="55"/>
      <c r="Q40" s="56"/>
      <c r="R40" s="57">
        <f>R39+R37</f>
        <v>262161.96976927161</v>
      </c>
      <c r="T40" s="100" t="s">
        <v>55</v>
      </c>
      <c r="U40" s="101"/>
      <c r="V40" s="102"/>
      <c r="W40" s="103">
        <f>SUM(W37:W39)</f>
        <v>1292923.7330471235</v>
      </c>
      <c r="X40" s="11"/>
      <c r="Y40" s="32" t="str">
        <f t="shared" ref="Y40:Y42" si="6">B32</f>
        <v>Occupancy</v>
      </c>
      <c r="Z40" s="62"/>
      <c r="AA40" s="65">
        <f t="shared" ref="AA40:AA42" si="7">C32</f>
        <v>11.11</v>
      </c>
      <c r="AB40" s="35">
        <f t="shared" ref="AB40:AB46" si="8">AA40*$AB$30</f>
        <v>55550</v>
      </c>
      <c r="AC40" s="4"/>
      <c r="AD40" s="32" t="str">
        <f t="shared" ref="AD40:AD42" si="9">B32</f>
        <v>Occupancy</v>
      </c>
      <c r="AE40" s="62"/>
      <c r="AF40" s="65">
        <f t="shared" ref="AF40:AF42" si="10">C32</f>
        <v>11.11</v>
      </c>
      <c r="AG40" s="35">
        <f>AF40*$AG$30</f>
        <v>55550</v>
      </c>
      <c r="AH40" s="14"/>
      <c r="AJ40" s="14"/>
      <c r="AK40" s="14"/>
      <c r="AL40" s="14"/>
      <c r="AM40" s="5"/>
      <c r="AN40" s="5"/>
      <c r="AO40" s="141"/>
      <c r="AP40" s="8"/>
      <c r="AQ40" s="12"/>
      <c r="AR40" s="9"/>
      <c r="AS40" s="10"/>
      <c r="AT40" s="9"/>
      <c r="AU40" s="154"/>
      <c r="AX40" s="14"/>
      <c r="AY40" s="14"/>
      <c r="AZ40" s="14"/>
      <c r="BA40" s="14"/>
      <c r="BB40" s="14"/>
      <c r="BC40" s="14"/>
      <c r="BD40" s="5"/>
      <c r="BE40" s="63"/>
      <c r="BF40" s="5"/>
      <c r="BG40" s="5"/>
      <c r="BH40" s="5"/>
    </row>
    <row r="41" spans="2:61" ht="15.75" thickTop="1">
      <c r="B41" s="162"/>
      <c r="C41" s="163"/>
      <c r="D41" s="164"/>
      <c r="E41" s="165"/>
      <c r="F41" s="166"/>
      <c r="G41" s="167"/>
      <c r="H41" s="169"/>
      <c r="J41" s="61"/>
      <c r="K41" s="62"/>
      <c r="L41" s="28" t="s">
        <v>43</v>
      </c>
      <c r="M41" s="35"/>
      <c r="O41" s="61"/>
      <c r="P41" s="62"/>
      <c r="Q41" s="28" t="s">
        <v>43</v>
      </c>
      <c r="R41" s="35"/>
      <c r="T41" s="26"/>
      <c r="U41" s="27"/>
      <c r="V41" s="107"/>
      <c r="W41" s="50"/>
      <c r="X41" s="11"/>
      <c r="Y41" s="32" t="str">
        <f t="shared" si="6"/>
        <v>Sups &amp;Mats</v>
      </c>
      <c r="Z41" s="62"/>
      <c r="AA41" s="65">
        <f t="shared" si="7"/>
        <v>1.27</v>
      </c>
      <c r="AB41" s="35">
        <f t="shared" si="8"/>
        <v>6350</v>
      </c>
      <c r="AC41" s="4"/>
      <c r="AD41" s="32" t="str">
        <f t="shared" si="9"/>
        <v>Sups &amp;Mats</v>
      </c>
      <c r="AE41" s="62"/>
      <c r="AF41" s="65">
        <f t="shared" si="10"/>
        <v>1.27</v>
      </c>
      <c r="AG41" s="35">
        <f t="shared" ref="AG41:AG46" si="11">AF41*$R$32</f>
        <v>6350</v>
      </c>
      <c r="AH41" s="14"/>
      <c r="AJ41" s="14"/>
      <c r="AK41" s="14"/>
      <c r="AL41" s="14"/>
      <c r="AM41" s="5"/>
      <c r="AN41" s="5"/>
      <c r="AO41" s="141"/>
      <c r="AP41" s="8"/>
      <c r="AQ41" s="12"/>
      <c r="AR41" s="9"/>
      <c r="AS41" s="10"/>
      <c r="AT41" s="9"/>
      <c r="AU41" s="170"/>
      <c r="AX41" s="14"/>
      <c r="AY41" s="14"/>
      <c r="AZ41" s="14"/>
      <c r="BA41" s="14"/>
      <c r="BB41" s="14"/>
      <c r="BC41" s="14"/>
      <c r="BD41" s="5"/>
      <c r="BE41" s="63"/>
      <c r="BF41" s="5"/>
      <c r="BG41" s="5"/>
      <c r="BH41" s="5"/>
    </row>
    <row r="42" spans="2:61">
      <c r="B42" s="162"/>
      <c r="C42" s="163"/>
      <c r="D42" s="164"/>
      <c r="E42" s="165"/>
      <c r="F42" s="166"/>
      <c r="G42" s="171"/>
      <c r="H42" s="171"/>
      <c r="J42" s="64" t="s">
        <v>0</v>
      </c>
      <c r="K42" s="62"/>
      <c r="L42" s="65">
        <f>C32</f>
        <v>11.11</v>
      </c>
      <c r="M42" s="35">
        <f>L42*$M$32</f>
        <v>55550</v>
      </c>
      <c r="O42" s="64" t="s">
        <v>0</v>
      </c>
      <c r="P42" s="62"/>
      <c r="Q42" s="65">
        <f>C32</f>
        <v>11.11</v>
      </c>
      <c r="R42" s="35">
        <f>Q42*$R$32</f>
        <v>55550</v>
      </c>
      <c r="T42" s="111" t="s">
        <v>57</v>
      </c>
      <c r="U42" s="113"/>
      <c r="V42" s="113"/>
      <c r="W42" s="519">
        <f>W40/W20</f>
        <v>258.58474660942471</v>
      </c>
      <c r="X42" s="11"/>
      <c r="Y42" s="32" t="str">
        <f t="shared" si="6"/>
        <v>Direct Client Expenses (I , A &amp; B)</v>
      </c>
      <c r="Z42" s="62"/>
      <c r="AA42" s="65">
        <f t="shared" si="7"/>
        <v>6</v>
      </c>
      <c r="AB42" s="35">
        <f t="shared" si="8"/>
        <v>30000</v>
      </c>
      <c r="AC42" s="4"/>
      <c r="AD42" s="32" t="str">
        <f t="shared" si="9"/>
        <v>Direct Client Expenses (I , A &amp; B)</v>
      </c>
      <c r="AE42" s="62"/>
      <c r="AF42" s="65">
        <f t="shared" si="10"/>
        <v>6</v>
      </c>
      <c r="AG42" s="35">
        <f t="shared" si="11"/>
        <v>30000</v>
      </c>
      <c r="AH42" s="14"/>
      <c r="AJ42" s="14"/>
      <c r="AK42" s="14"/>
      <c r="AL42" s="14"/>
      <c r="AM42" s="5"/>
      <c r="AN42" s="5"/>
      <c r="AO42" s="141"/>
      <c r="AP42" s="8"/>
      <c r="AQ42" s="12"/>
      <c r="AR42" s="9"/>
      <c r="AS42" s="10"/>
      <c r="AT42" s="9"/>
      <c r="AU42" s="172"/>
      <c r="AX42" s="14"/>
      <c r="AY42" s="14"/>
      <c r="AZ42" s="14"/>
      <c r="BA42" s="14"/>
      <c r="BB42" s="14"/>
      <c r="BC42" s="14"/>
      <c r="BD42" s="5"/>
      <c r="BE42" s="5"/>
      <c r="BF42" s="63"/>
      <c r="BG42" s="5"/>
      <c r="BH42" s="5"/>
      <c r="BI42" s="5"/>
    </row>
    <row r="43" spans="2:61">
      <c r="B43" s="162"/>
      <c r="C43" s="173"/>
      <c r="D43" s="165"/>
      <c r="E43" s="164"/>
      <c r="F43" s="166"/>
      <c r="G43" s="171"/>
      <c r="H43" s="171"/>
      <c r="J43" s="521" t="s">
        <v>2</v>
      </c>
      <c r="K43" s="151"/>
      <c r="L43" s="143">
        <f>C33</f>
        <v>1.27</v>
      </c>
      <c r="M43" s="522">
        <f>L43*$M$32</f>
        <v>6350</v>
      </c>
      <c r="N43" s="523"/>
      <c r="O43" s="521" t="s">
        <v>2</v>
      </c>
      <c r="P43" s="151"/>
      <c r="Q43" s="143">
        <f>C33</f>
        <v>1.27</v>
      </c>
      <c r="R43" s="522">
        <f>Q43*$R$32</f>
        <v>6350</v>
      </c>
      <c r="T43" s="61" t="s">
        <v>59</v>
      </c>
      <c r="U43" s="115"/>
      <c r="V43" s="116"/>
      <c r="W43" s="117">
        <f>W42/6</f>
        <v>43.097457768237454</v>
      </c>
      <c r="X43" s="11"/>
      <c r="Y43" s="32" t="str">
        <f>B35</f>
        <v>Transportation</v>
      </c>
      <c r="Z43" s="62"/>
      <c r="AA43" s="65">
        <f>C35</f>
        <v>7.0898067420324296</v>
      </c>
      <c r="AB43" s="35">
        <f t="shared" si="8"/>
        <v>35449.033710162148</v>
      </c>
      <c r="AC43" s="4"/>
      <c r="AD43" s="32" t="str">
        <f>B35</f>
        <v>Transportation</v>
      </c>
      <c r="AE43" s="62"/>
      <c r="AF43" s="65">
        <f>C35</f>
        <v>7.0898067420324296</v>
      </c>
      <c r="AG43" s="35">
        <f t="shared" si="11"/>
        <v>35449.033710162148</v>
      </c>
      <c r="AH43" s="14"/>
      <c r="AJ43" s="14"/>
      <c r="AK43" s="14"/>
      <c r="AL43" s="14"/>
      <c r="AM43" s="5"/>
      <c r="AN43" s="5"/>
      <c r="AO43" s="141"/>
      <c r="AP43" s="8"/>
      <c r="AQ43" s="12"/>
      <c r="AR43" s="9"/>
      <c r="AS43" s="10"/>
      <c r="AT43" s="9"/>
      <c r="AU43" s="174"/>
      <c r="AX43" s="14"/>
      <c r="AY43" s="14"/>
      <c r="AZ43" s="14"/>
      <c r="BA43" s="14"/>
      <c r="BB43" s="14"/>
      <c r="BC43" s="14"/>
      <c r="BD43" s="5"/>
      <c r="BE43" s="5"/>
      <c r="BF43" s="63"/>
      <c r="BG43" s="5"/>
      <c r="BH43" s="5"/>
      <c r="BI43" s="5"/>
    </row>
    <row r="44" spans="2:61" ht="15.75" thickBot="1">
      <c r="B44" s="175"/>
      <c r="C44" s="176"/>
      <c r="D44" s="177"/>
      <c r="E44" s="164"/>
      <c r="F44" s="178"/>
      <c r="G44" s="179"/>
      <c r="H44" s="178"/>
      <c r="J44" s="521" t="s">
        <v>3</v>
      </c>
      <c r="K44" s="151"/>
      <c r="L44" s="143">
        <f>C34</f>
        <v>6</v>
      </c>
      <c r="M44" s="522">
        <f>L44*$M$32</f>
        <v>30000</v>
      </c>
      <c r="N44" s="523"/>
      <c r="O44" s="521" t="s">
        <v>3</v>
      </c>
      <c r="P44" s="151"/>
      <c r="Q44" s="143">
        <f>C34</f>
        <v>6</v>
      </c>
      <c r="R44" s="522">
        <f>Q44*$R$32</f>
        <v>30000</v>
      </c>
      <c r="T44" s="61" t="s">
        <v>60</v>
      </c>
      <c r="U44" s="115"/>
      <c r="V44" s="116"/>
      <c r="W44" s="123">
        <f>W43/4</f>
        <v>10.774364442059364</v>
      </c>
      <c r="X44" s="11"/>
      <c r="Y44" s="32" t="e">
        <f>#REF!</f>
        <v>#REF!</v>
      </c>
      <c r="Z44" s="62"/>
      <c r="AA44" s="65" t="e">
        <f>#REF!</f>
        <v>#REF!</v>
      </c>
      <c r="AB44" s="35" t="e">
        <f t="shared" si="8"/>
        <v>#REF!</v>
      </c>
      <c r="AC44" s="4"/>
      <c r="AD44" s="32" t="e">
        <f>#REF!</f>
        <v>#REF!</v>
      </c>
      <c r="AE44" s="62"/>
      <c r="AF44" s="65" t="e">
        <f>#REF!</f>
        <v>#REF!</v>
      </c>
      <c r="AG44" s="35" t="e">
        <f t="shared" si="11"/>
        <v>#REF!</v>
      </c>
      <c r="AH44" s="14"/>
      <c r="AJ44" s="14"/>
      <c r="AK44" s="14"/>
      <c r="AL44" s="14"/>
      <c r="AM44" s="5"/>
      <c r="AN44" s="5"/>
      <c r="AO44" s="141"/>
      <c r="AP44" s="8"/>
      <c r="AQ44" s="12"/>
      <c r="AR44" s="9"/>
      <c r="AS44" s="10"/>
      <c r="AT44" s="9"/>
      <c r="AU44" s="174"/>
      <c r="AX44" s="14"/>
      <c r="AY44" s="14"/>
      <c r="AZ44" s="14"/>
      <c r="BA44" s="14"/>
      <c r="BB44" s="14"/>
      <c r="BC44" s="14"/>
      <c r="BD44" s="5"/>
      <c r="BE44" s="5"/>
      <c r="BF44" s="63"/>
      <c r="BG44" s="5"/>
      <c r="BH44" s="5"/>
      <c r="BI44" s="5"/>
    </row>
    <row r="45" spans="2:61" ht="15.75" thickBot="1">
      <c r="B45" s="175"/>
      <c r="C45" s="176"/>
      <c r="D45" s="177"/>
      <c r="E45" s="164"/>
      <c r="F45" s="178"/>
      <c r="G45" s="179"/>
      <c r="H45" s="178"/>
      <c r="J45" s="64" t="s">
        <v>1</v>
      </c>
      <c r="K45" s="62"/>
      <c r="L45" s="75">
        <f>C35</f>
        <v>7.0898067420324296</v>
      </c>
      <c r="M45" s="499">
        <f>L45*$M$32*E28</f>
        <v>28359.226968129718</v>
      </c>
      <c r="O45" s="64" t="s">
        <v>1</v>
      </c>
      <c r="P45" s="62"/>
      <c r="Q45" s="75">
        <f>C35</f>
        <v>7.0898067420324296</v>
      </c>
      <c r="R45" s="499">
        <f>Q45*$R$32*F28</f>
        <v>28359.226968129718</v>
      </c>
      <c r="T45" s="132" t="s">
        <v>61</v>
      </c>
      <c r="U45" s="133">
        <f>C38</f>
        <v>1.4200561009817744E-2</v>
      </c>
      <c r="V45" s="134"/>
      <c r="W45" s="135">
        <f>W44*(1+U45)</f>
        <v>10.927366461660839</v>
      </c>
      <c r="X45" s="11"/>
      <c r="Y45" s="32" t="e">
        <f>#REF!</f>
        <v>#REF!</v>
      </c>
      <c r="Z45" s="62"/>
      <c r="AA45" s="65" t="e">
        <f>#REF!</f>
        <v>#REF!</v>
      </c>
      <c r="AB45" s="35" t="e">
        <f t="shared" si="8"/>
        <v>#REF!</v>
      </c>
      <c r="AC45" s="4"/>
      <c r="AD45" s="32" t="e">
        <f>#REF!</f>
        <v>#REF!</v>
      </c>
      <c r="AE45" s="62"/>
      <c r="AF45" s="65" t="e">
        <f>#REF!</f>
        <v>#REF!</v>
      </c>
      <c r="AG45" s="35" t="e">
        <f t="shared" si="11"/>
        <v>#REF!</v>
      </c>
      <c r="AH45" s="14"/>
      <c r="AJ45" s="14"/>
      <c r="AK45" s="14"/>
      <c r="AL45" s="14"/>
      <c r="AM45" s="5"/>
      <c r="AN45" s="5"/>
      <c r="AO45" s="141"/>
      <c r="AP45" s="8"/>
      <c r="AQ45" s="12"/>
      <c r="AR45" s="9"/>
      <c r="AS45" s="10"/>
      <c r="AT45" s="9"/>
      <c r="AU45" s="174"/>
      <c r="AX45" s="14"/>
      <c r="AY45" s="14"/>
      <c r="AZ45" s="14"/>
      <c r="BA45" s="14"/>
      <c r="BB45" s="14"/>
      <c r="BC45" s="14"/>
      <c r="BD45" s="5"/>
      <c r="BE45" s="5"/>
      <c r="BF45" s="63"/>
      <c r="BG45" s="5"/>
      <c r="BH45" s="5"/>
      <c r="BI45" s="5"/>
    </row>
    <row r="46" spans="2:61">
      <c r="B46" s="25"/>
      <c r="C46" s="176"/>
      <c r="D46" s="177"/>
      <c r="E46" s="164"/>
      <c r="F46" s="178"/>
      <c r="G46" s="179"/>
      <c r="H46" s="178"/>
      <c r="J46" s="32"/>
      <c r="K46" s="62"/>
      <c r="L46" s="78">
        <f>SUM(L42:L45)</f>
        <v>25.469806742032429</v>
      </c>
      <c r="M46" s="79">
        <f>SUM(M42:M45)</f>
        <v>120259.22696812972</v>
      </c>
      <c r="O46" s="32"/>
      <c r="P46" s="62"/>
      <c r="Q46" s="78">
        <f>SUM(Q42:Q45)</f>
        <v>25.469806742032429</v>
      </c>
      <c r="R46" s="79">
        <f>SUM(R42:R45)</f>
        <v>120259.22696812972</v>
      </c>
      <c r="X46" s="11"/>
      <c r="Y46" s="32" t="e">
        <f>#REF!</f>
        <v>#REF!</v>
      </c>
      <c r="Z46" s="62"/>
      <c r="AA46" s="75" t="e">
        <f>#REF!*G28</f>
        <v>#REF!</v>
      </c>
      <c r="AB46" s="76" t="e">
        <f t="shared" si="8"/>
        <v>#REF!</v>
      </c>
      <c r="AC46" s="4"/>
      <c r="AD46" s="32" t="e">
        <f>#REF!</f>
        <v>#REF!</v>
      </c>
      <c r="AE46" s="62"/>
      <c r="AF46" s="75" t="e">
        <f>#REF!*H28</f>
        <v>#REF!</v>
      </c>
      <c r="AG46" s="76" t="e">
        <f t="shared" si="11"/>
        <v>#REF!</v>
      </c>
      <c r="AH46" s="14"/>
      <c r="AJ46" s="14"/>
      <c r="AK46" s="14"/>
      <c r="AL46" s="14"/>
      <c r="AM46" s="5"/>
      <c r="AN46" s="5"/>
      <c r="AO46" s="141"/>
      <c r="AP46" s="8"/>
      <c r="AQ46" s="12"/>
      <c r="AR46" s="9"/>
      <c r="AS46" s="10"/>
      <c r="AT46" s="9"/>
      <c r="AU46" s="180"/>
      <c r="AX46" s="14"/>
      <c r="AY46" s="14"/>
      <c r="AZ46" s="14"/>
      <c r="BA46" s="14"/>
      <c r="BB46" s="14"/>
      <c r="BC46" s="14"/>
      <c r="BD46" s="5"/>
      <c r="BE46" s="5"/>
      <c r="BF46" s="63"/>
      <c r="BG46" s="5"/>
      <c r="BH46" s="5"/>
      <c r="BI46" s="5"/>
    </row>
    <row r="47" spans="2:61">
      <c r="B47" s="25"/>
      <c r="C47" s="176"/>
      <c r="D47" s="177"/>
      <c r="E47" s="164"/>
      <c r="F47" s="178"/>
      <c r="G47" s="179"/>
      <c r="H47" s="178"/>
      <c r="J47" s="61"/>
      <c r="K47" s="62"/>
      <c r="L47" s="83"/>
      <c r="M47" s="35"/>
      <c r="O47" s="61"/>
      <c r="P47" s="62"/>
      <c r="Q47" s="83"/>
      <c r="R47" s="35"/>
      <c r="X47" s="11"/>
      <c r="Y47" s="32"/>
      <c r="Z47" s="62"/>
      <c r="AA47" s="78" t="e">
        <f t="shared" ref="AA47:AB47" si="12">SUM(AA40:AA46)</f>
        <v>#REF!</v>
      </c>
      <c r="AB47" s="79" t="e">
        <f t="shared" si="12"/>
        <v>#REF!</v>
      </c>
      <c r="AC47" s="4"/>
      <c r="AD47" s="32"/>
      <c r="AE47" s="62"/>
      <c r="AF47" s="78" t="e">
        <f>SUM(AF40:AF46)</f>
        <v>#REF!</v>
      </c>
      <c r="AG47" s="79" t="e">
        <f>SUM(AG40:AG46)</f>
        <v>#REF!</v>
      </c>
      <c r="AH47" s="14"/>
      <c r="AJ47" s="14"/>
      <c r="AK47" s="14"/>
      <c r="AL47" s="14"/>
      <c r="AM47" s="5"/>
      <c r="AN47" s="5"/>
      <c r="AO47" s="141"/>
      <c r="AP47" s="8"/>
      <c r="AQ47" s="12"/>
      <c r="AR47" s="9"/>
      <c r="AS47" s="10"/>
      <c r="AT47" s="9"/>
      <c r="AU47" s="181"/>
      <c r="AX47" s="14"/>
      <c r="AY47" s="14"/>
      <c r="AZ47" s="14"/>
      <c r="BA47" s="14"/>
      <c r="BB47" s="14"/>
      <c r="BC47" s="14"/>
      <c r="BD47" s="5"/>
      <c r="BE47" s="5"/>
      <c r="BF47" s="63"/>
      <c r="BG47" s="5"/>
      <c r="BH47" s="5"/>
      <c r="BI47" s="5"/>
    </row>
    <row r="48" spans="2:61">
      <c r="B48" s="165"/>
      <c r="C48" s="163"/>
      <c r="D48" s="164"/>
      <c r="E48" s="164"/>
      <c r="F48" s="178"/>
      <c r="G48" s="179"/>
      <c r="H48" s="178"/>
      <c r="J48" s="46" t="s">
        <v>52</v>
      </c>
      <c r="K48" s="47"/>
      <c r="L48" s="48"/>
      <c r="M48" s="49">
        <f>M40+M46</f>
        <v>460245.21032109973</v>
      </c>
      <c r="O48" s="46" t="s">
        <v>52</v>
      </c>
      <c r="P48" s="47"/>
      <c r="Q48" s="48"/>
      <c r="R48" s="49">
        <f>R40+R46</f>
        <v>382421.1967374013</v>
      </c>
      <c r="X48" s="11"/>
      <c r="Y48" s="61"/>
      <c r="Z48" s="62"/>
      <c r="AA48" s="78"/>
      <c r="AB48" s="79"/>
      <c r="AC48" s="4"/>
      <c r="AD48" s="61"/>
      <c r="AE48" s="62"/>
      <c r="AF48" s="83"/>
      <c r="AG48" s="35"/>
      <c r="AH48" s="14"/>
      <c r="AJ48" s="14"/>
      <c r="AK48" s="14"/>
      <c r="AL48" s="14"/>
      <c r="AM48" s="5"/>
      <c r="AN48" s="5"/>
      <c r="AO48" s="141"/>
      <c r="AP48" s="8"/>
      <c r="AQ48" s="12"/>
      <c r="AR48" s="9"/>
      <c r="AS48" s="10"/>
      <c r="AT48" s="9"/>
      <c r="AU48" s="181"/>
      <c r="AX48" s="14"/>
      <c r="AY48" s="14"/>
      <c r="AZ48" s="14"/>
      <c r="BA48" s="14"/>
      <c r="BB48" s="14"/>
      <c r="BC48" s="14"/>
      <c r="BD48" s="5"/>
      <c r="BE48" s="5"/>
      <c r="BF48" s="63"/>
      <c r="BG48" s="5"/>
      <c r="BH48" s="5"/>
      <c r="BI48" s="5"/>
    </row>
    <row r="49" spans="2:61">
      <c r="B49" s="165"/>
      <c r="C49" s="163"/>
      <c r="D49" s="164"/>
      <c r="E49" s="164"/>
      <c r="F49" s="178"/>
      <c r="G49" s="179"/>
      <c r="H49" s="178"/>
      <c r="J49" s="448" t="str">
        <f>J22</f>
        <v>PFMLA Trust Contribution</v>
      </c>
      <c r="K49" s="449">
        <f>K22</f>
        <v>6.3E-3</v>
      </c>
      <c r="L49" s="450"/>
      <c r="M49" s="451">
        <f>M37*(K56+1)*K49</f>
        <v>1764.6000388464233</v>
      </c>
      <c r="O49" s="448" t="str">
        <f>J49</f>
        <v>PFMLA Trust Contribution</v>
      </c>
      <c r="P49" s="449">
        <f>K49</f>
        <v>6.3E-3</v>
      </c>
      <c r="Q49" s="93"/>
      <c r="R49" s="451">
        <f>R37*(P56+1)*P49</f>
        <v>1360.6767475429524</v>
      </c>
      <c r="X49" s="11"/>
      <c r="Y49" s="46" t="s">
        <v>52</v>
      </c>
      <c r="Z49" s="47"/>
      <c r="AA49" s="48"/>
      <c r="AB49" s="49" t="e">
        <f>AB38+AB47</f>
        <v>#REF!</v>
      </c>
      <c r="AC49" s="4"/>
      <c r="AD49" s="46" t="s">
        <v>52</v>
      </c>
      <c r="AE49" s="47"/>
      <c r="AF49" s="48"/>
      <c r="AG49" s="49" t="e">
        <f>AG38+AG47</f>
        <v>#REF!</v>
      </c>
      <c r="AH49" s="14"/>
      <c r="AJ49" s="14"/>
      <c r="AK49" s="14"/>
      <c r="AL49" s="14"/>
      <c r="AM49" s="5"/>
      <c r="AN49" s="5"/>
      <c r="AO49" s="141"/>
      <c r="AP49" s="8"/>
      <c r="AQ49" s="12"/>
      <c r="AR49" s="9"/>
      <c r="AS49" s="10"/>
      <c r="AT49" s="9"/>
      <c r="AU49" s="146"/>
      <c r="AX49" s="14"/>
      <c r="AY49" s="14"/>
      <c r="AZ49" s="14"/>
      <c r="BA49" s="14"/>
      <c r="BB49" s="14"/>
      <c r="BC49" s="14"/>
      <c r="BD49" s="5"/>
      <c r="BE49" s="5"/>
      <c r="BF49" s="63"/>
      <c r="BG49" s="5"/>
      <c r="BH49" s="5"/>
      <c r="BI49" s="5"/>
    </row>
    <row r="50" spans="2:61">
      <c r="B50" s="165"/>
      <c r="C50" s="163"/>
      <c r="D50" s="164"/>
      <c r="E50" s="182"/>
      <c r="F50" s="178"/>
      <c r="G50" s="179"/>
      <c r="H50" s="178"/>
      <c r="J50" s="61" t="s">
        <v>54</v>
      </c>
      <c r="K50" s="97">
        <v>0.1265</v>
      </c>
      <c r="L50" s="98"/>
      <c r="M50" s="35">
        <f>K50*M48</f>
        <v>58221.019105619118</v>
      </c>
      <c r="O50" s="61" t="str">
        <f>B36</f>
        <v>Admin Allocation</v>
      </c>
      <c r="P50" s="97">
        <f>C36</f>
        <v>0.12647885873312933</v>
      </c>
      <c r="Q50" s="98"/>
      <c r="R50" s="35">
        <f>P50*R48</f>
        <v>48368.19651870404</v>
      </c>
      <c r="T50" s="146"/>
      <c r="U50" s="146"/>
      <c r="V50" s="146"/>
      <c r="W50" s="146"/>
      <c r="X50" s="11"/>
      <c r="Y50" s="91"/>
      <c r="Z50" s="92"/>
      <c r="AA50" s="93"/>
      <c r="AB50" s="79"/>
      <c r="AC50" s="4"/>
      <c r="AD50" s="91"/>
      <c r="AE50" s="92"/>
      <c r="AF50" s="93"/>
      <c r="AG50" s="79"/>
      <c r="AH50" s="14"/>
      <c r="AJ50" s="14"/>
      <c r="AK50" s="14"/>
      <c r="AL50" s="14"/>
      <c r="AM50" s="5"/>
      <c r="AN50" s="5"/>
      <c r="AO50" s="71"/>
      <c r="AP50" s="8"/>
      <c r="AQ50" s="12"/>
      <c r="AR50" s="9"/>
      <c r="AS50" s="10"/>
      <c r="AT50" s="9"/>
      <c r="AU50" s="183"/>
      <c r="AX50" s="14"/>
      <c r="AY50" s="14"/>
      <c r="AZ50" s="14"/>
      <c r="BA50" s="14"/>
      <c r="BB50" s="14"/>
      <c r="BC50" s="14"/>
      <c r="BD50" s="5"/>
      <c r="BE50" s="5"/>
      <c r="BF50" s="63"/>
      <c r="BG50" s="5"/>
      <c r="BH50" s="5"/>
      <c r="BI50" s="5"/>
    </row>
    <row r="51" spans="2:61" ht="15.75" thickBot="1">
      <c r="B51" s="184"/>
      <c r="C51" s="163"/>
      <c r="D51" s="164"/>
      <c r="E51" s="182"/>
      <c r="F51" s="178"/>
      <c r="G51" s="179"/>
      <c r="H51" s="178"/>
      <c r="J51" s="100" t="s">
        <v>55</v>
      </c>
      <c r="K51" s="101"/>
      <c r="L51" s="102"/>
      <c r="M51" s="103">
        <f>SUM(M48:M50)</f>
        <v>520230.82946556527</v>
      </c>
      <c r="O51" s="100" t="s">
        <v>55</v>
      </c>
      <c r="P51" s="101"/>
      <c r="Q51" s="102"/>
      <c r="R51" s="103">
        <f>SUM(R48:R50)</f>
        <v>432150.07000364835</v>
      </c>
      <c r="T51" s="185"/>
      <c r="U51" s="186"/>
      <c r="V51" s="186"/>
      <c r="W51" s="187"/>
      <c r="X51" s="11"/>
      <c r="Y51" s="32" t="str">
        <f>B36</f>
        <v>Admin Allocation</v>
      </c>
      <c r="Z51" s="97">
        <f>C36</f>
        <v>0.12647885873312933</v>
      </c>
      <c r="AA51" s="98"/>
      <c r="AB51" s="35" t="e">
        <f>Z51*AB49</f>
        <v>#REF!</v>
      </c>
      <c r="AC51" s="4"/>
      <c r="AD51" s="32" t="s">
        <v>54</v>
      </c>
      <c r="AE51" s="97">
        <f>C36</f>
        <v>0.12647885873312933</v>
      </c>
      <c r="AF51" s="98"/>
      <c r="AG51" s="35" t="e">
        <f>AE51*AG49</f>
        <v>#REF!</v>
      </c>
      <c r="AH51" s="14"/>
      <c r="AJ51" s="14"/>
      <c r="AK51" s="14"/>
      <c r="AL51" s="14"/>
      <c r="AM51" s="5"/>
      <c r="AN51" s="5"/>
      <c r="AO51" s="11"/>
      <c r="AP51" s="8"/>
      <c r="AQ51" s="12"/>
      <c r="AR51" s="9"/>
      <c r="AS51" s="10"/>
      <c r="AT51" s="9"/>
      <c r="AU51" s="183"/>
      <c r="AX51" s="14"/>
      <c r="AY51" s="14"/>
      <c r="AZ51" s="14"/>
      <c r="BA51" s="14"/>
      <c r="BB51" s="14"/>
      <c r="BC51" s="14"/>
      <c r="BD51" s="5"/>
      <c r="BE51" s="5"/>
      <c r="BF51" s="63"/>
      <c r="BG51" s="5"/>
      <c r="BH51" s="5"/>
      <c r="BI51" s="5"/>
    </row>
    <row r="52" spans="2:61" ht="16.5" thickTop="1" thickBot="1">
      <c r="B52" s="184"/>
      <c r="C52" s="163"/>
      <c r="D52" s="164"/>
      <c r="E52" s="179"/>
      <c r="F52" s="178"/>
      <c r="G52" s="179"/>
      <c r="H52" s="178"/>
      <c r="J52" s="26"/>
      <c r="K52" s="27"/>
      <c r="L52" s="107"/>
      <c r="M52" s="50"/>
      <c r="O52" s="26"/>
      <c r="P52" s="27"/>
      <c r="Q52" s="107"/>
      <c r="R52" s="50"/>
      <c r="T52" s="185"/>
      <c r="U52" s="189"/>
      <c r="V52" s="189"/>
      <c r="W52" s="189"/>
      <c r="X52" s="11"/>
      <c r="Y52" s="100" t="s">
        <v>55</v>
      </c>
      <c r="Z52" s="101"/>
      <c r="AA52" s="102"/>
      <c r="AB52" s="103" t="e">
        <f>SUM(AB49:AB51)</f>
        <v>#REF!</v>
      </c>
      <c r="AC52" s="4"/>
      <c r="AD52" s="100" t="s">
        <v>55</v>
      </c>
      <c r="AE52" s="101"/>
      <c r="AF52" s="102"/>
      <c r="AG52" s="103" t="e">
        <f>SUM(AG49:AG51)</f>
        <v>#REF!</v>
      </c>
      <c r="AH52" s="14"/>
      <c r="AI52" s="14"/>
      <c r="AJ52" s="14"/>
      <c r="AK52" s="14"/>
      <c r="AL52" s="14"/>
      <c r="AM52" s="5"/>
      <c r="AN52" s="5"/>
      <c r="AO52" s="63"/>
      <c r="AP52" s="5"/>
      <c r="AQ52" s="5"/>
      <c r="AR52" s="5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2:61" ht="15.75" thickTop="1">
      <c r="B53" s="184"/>
      <c r="C53" s="188"/>
      <c r="D53" s="167"/>
      <c r="E53" s="179"/>
      <c r="F53" s="178"/>
      <c r="G53" s="179"/>
      <c r="H53" s="178"/>
      <c r="J53" s="111" t="s">
        <v>57</v>
      </c>
      <c r="K53" s="113"/>
      <c r="L53" s="113"/>
      <c r="M53" s="519">
        <f>M51/M32</f>
        <v>104.04616589311306</v>
      </c>
      <c r="O53" s="111" t="s">
        <v>57</v>
      </c>
      <c r="P53" s="113"/>
      <c r="Q53" s="113"/>
      <c r="R53" s="519">
        <f>R51/R32</f>
        <v>86.43001400072967</v>
      </c>
      <c r="T53" s="185"/>
      <c r="U53" s="189"/>
      <c r="V53" s="189"/>
      <c r="W53" s="189"/>
      <c r="X53" s="11"/>
      <c r="Y53" s="26"/>
      <c r="Z53" s="27"/>
      <c r="AA53" s="107"/>
      <c r="AB53" s="50"/>
      <c r="AC53" s="4"/>
      <c r="AD53" s="26"/>
      <c r="AE53" s="27"/>
      <c r="AF53" s="107"/>
      <c r="AG53" s="50"/>
      <c r="AH53" s="14"/>
      <c r="AI53" s="14"/>
      <c r="AJ53" s="14"/>
      <c r="AK53" s="14"/>
      <c r="AL53" s="14"/>
      <c r="AM53" s="5"/>
      <c r="AN53" s="5"/>
      <c r="AO53" s="63"/>
      <c r="AP53" s="5"/>
      <c r="AQ53" s="5"/>
      <c r="AR53" s="5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2:61">
      <c r="B54" s="184"/>
      <c r="C54" s="168"/>
      <c r="D54" s="168"/>
      <c r="E54" s="179"/>
      <c r="F54" s="178"/>
      <c r="G54" s="179"/>
      <c r="H54" s="178"/>
      <c r="J54" s="61" t="s">
        <v>59</v>
      </c>
      <c r="K54" s="115"/>
      <c r="L54" s="116"/>
      <c r="M54" s="117">
        <f>M53/6</f>
        <v>17.341027648852176</v>
      </c>
      <c r="O54" s="61" t="s">
        <v>59</v>
      </c>
      <c r="P54" s="115"/>
      <c r="Q54" s="116"/>
      <c r="R54" s="117">
        <f>R53/6</f>
        <v>14.405002333454945</v>
      </c>
      <c r="T54" s="185"/>
      <c r="U54" s="189"/>
      <c r="V54" s="189"/>
      <c r="W54" s="189"/>
      <c r="X54" s="11"/>
      <c r="Y54" s="111" t="s">
        <v>57</v>
      </c>
      <c r="Z54" s="113"/>
      <c r="AA54" s="113"/>
      <c r="AB54" s="114" t="e">
        <f>AB52/AB30</f>
        <v>#REF!</v>
      </c>
      <c r="AC54" s="4"/>
      <c r="AD54" s="111" t="s">
        <v>57</v>
      </c>
      <c r="AE54" s="113"/>
      <c r="AF54" s="113"/>
      <c r="AG54" s="114" t="e">
        <f>AG52/AG30</f>
        <v>#REF!</v>
      </c>
      <c r="AH54" s="14"/>
      <c r="AI54" s="14"/>
      <c r="AJ54" s="14"/>
      <c r="AK54" s="14"/>
      <c r="AL54" s="14"/>
      <c r="AM54" s="5"/>
      <c r="AN54" s="5"/>
      <c r="AO54" s="63"/>
      <c r="AP54" s="5"/>
      <c r="AQ54" s="5"/>
      <c r="AR54" s="5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2:61" ht="15.75" thickBot="1">
      <c r="B55" s="184"/>
      <c r="C55" s="190"/>
      <c r="D55" s="168"/>
      <c r="E55" s="179"/>
      <c r="F55" s="178"/>
      <c r="G55" s="178"/>
      <c r="H55" s="164"/>
      <c r="J55" s="61" t="s">
        <v>60</v>
      </c>
      <c r="K55" s="115"/>
      <c r="L55" s="116"/>
      <c r="M55" s="123">
        <f>M54/4</f>
        <v>4.335256912213044</v>
      </c>
      <c r="O55" s="61" t="s">
        <v>60</v>
      </c>
      <c r="P55" s="115"/>
      <c r="Q55" s="116"/>
      <c r="R55" s="123">
        <f>R54/4</f>
        <v>3.6012505833637363</v>
      </c>
      <c r="T55" s="185"/>
      <c r="U55" s="189"/>
      <c r="V55" s="189"/>
      <c r="W55" s="189"/>
      <c r="X55" s="11"/>
      <c r="Y55" s="61" t="s">
        <v>59</v>
      </c>
      <c r="Z55" s="115"/>
      <c r="AA55" s="116"/>
      <c r="AB55" s="117" t="e">
        <f>AB54/6</f>
        <v>#REF!</v>
      </c>
      <c r="AC55" s="4"/>
      <c r="AD55" s="61" t="s">
        <v>59</v>
      </c>
      <c r="AE55" s="115"/>
      <c r="AF55" s="116"/>
      <c r="AG55" s="117" t="e">
        <f>AG54/6</f>
        <v>#REF!</v>
      </c>
      <c r="AH55" s="14"/>
      <c r="AI55" s="14"/>
      <c r="AJ55" s="14"/>
      <c r="AK55" s="14"/>
      <c r="AL55" s="14"/>
      <c r="AM55" s="5"/>
      <c r="AN55" s="5"/>
      <c r="AO55" s="63"/>
      <c r="AP55" s="5"/>
      <c r="AQ55" s="5"/>
      <c r="AR55" s="5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2:61" ht="15.75" thickBot="1">
      <c r="B56" s="184"/>
      <c r="C56" s="168"/>
      <c r="D56" s="168"/>
      <c r="E56" s="179"/>
      <c r="F56" s="178"/>
      <c r="G56" s="179"/>
      <c r="H56" s="496"/>
      <c r="J56" s="132" t="s">
        <v>61</v>
      </c>
      <c r="K56" s="133">
        <f>C38</f>
        <v>1.4200561009817744E-2</v>
      </c>
      <c r="L56" s="134"/>
      <c r="M56" s="135">
        <f>M55*(1+K56)</f>
        <v>4.396819992488159</v>
      </c>
      <c r="O56" s="132" t="s">
        <v>61</v>
      </c>
      <c r="P56" s="133">
        <f>C38</f>
        <v>1.4200561009817744E-2</v>
      </c>
      <c r="Q56" s="134"/>
      <c r="R56" s="135">
        <f>R55*(1+P56)</f>
        <v>3.6523903619844345</v>
      </c>
      <c r="T56" s="495"/>
      <c r="U56" s="189"/>
      <c r="V56" s="189"/>
      <c r="W56" s="189"/>
      <c r="X56" s="11"/>
      <c r="Y56" s="61" t="s">
        <v>60</v>
      </c>
      <c r="Z56" s="115"/>
      <c r="AA56" s="116"/>
      <c r="AB56" s="123" t="e">
        <f>AB55/4</f>
        <v>#REF!</v>
      </c>
      <c r="AC56" s="4"/>
      <c r="AD56" s="61" t="s">
        <v>60</v>
      </c>
      <c r="AE56" s="115"/>
      <c r="AF56" s="116"/>
      <c r="AG56" s="123" t="e">
        <f>AG55/4</f>
        <v>#REF!</v>
      </c>
      <c r="AH56" s="14"/>
      <c r="AI56" s="14"/>
      <c r="AJ56" s="14"/>
      <c r="AK56" s="14"/>
      <c r="AL56" s="14"/>
      <c r="AM56" s="5"/>
      <c r="AN56" s="5"/>
      <c r="AO56" s="63"/>
      <c r="AP56" s="5"/>
      <c r="AQ56" s="5"/>
      <c r="AR56" s="5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2:61" ht="15.75" thickBot="1">
      <c r="B57" s="191"/>
      <c r="C57" s="168"/>
      <c r="D57" s="168"/>
      <c r="E57" s="192"/>
      <c r="F57" s="178"/>
      <c r="G57" s="179"/>
      <c r="H57" s="178"/>
      <c r="J57" s="37"/>
      <c r="K57" s="71"/>
      <c r="L57" s="71"/>
      <c r="M57" s="119"/>
      <c r="T57" s="185"/>
      <c r="U57" s="189"/>
      <c r="V57" s="189"/>
      <c r="W57" s="189"/>
      <c r="X57" s="11"/>
      <c r="Y57" s="132" t="s">
        <v>61</v>
      </c>
      <c r="Z57" s="133">
        <f>C38</f>
        <v>1.4200561009817744E-2</v>
      </c>
      <c r="AA57" s="134"/>
      <c r="AB57" s="135" t="e">
        <f>AB56*(1+Z57)</f>
        <v>#REF!</v>
      </c>
      <c r="AC57" s="4"/>
      <c r="AD57" s="132" t="s">
        <v>61</v>
      </c>
      <c r="AE57" s="133">
        <f>C38</f>
        <v>1.4200561009817744E-2</v>
      </c>
      <c r="AF57" s="134"/>
      <c r="AG57" s="135" t="e">
        <f>AG56*(1+AE57)</f>
        <v>#REF!</v>
      </c>
      <c r="AH57" s="14"/>
      <c r="AI57" s="14"/>
      <c r="AJ57" s="14"/>
      <c r="AK57" s="14"/>
      <c r="AL57" s="14"/>
      <c r="AM57" s="5"/>
      <c r="AN57" s="5"/>
      <c r="AO57" s="63"/>
      <c r="AP57" s="5"/>
      <c r="AQ57" s="5"/>
      <c r="AR57" s="5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2:61">
      <c r="B58" s="193"/>
      <c r="C58" s="194"/>
      <c r="D58" s="194"/>
      <c r="M58" s="497"/>
      <c r="T58" s="146"/>
      <c r="U58" s="146"/>
      <c r="V58" s="146"/>
      <c r="W58" s="146"/>
      <c r="X58" s="141"/>
      <c r="Z58" s="12"/>
      <c r="AA58" s="9"/>
      <c r="AB58" s="10"/>
      <c r="AC58" s="9"/>
      <c r="AD58" s="181"/>
      <c r="AE58" s="14"/>
      <c r="AF58" s="14"/>
      <c r="AG58" s="14"/>
      <c r="AH58" s="14"/>
      <c r="AI58" s="14"/>
      <c r="AJ58" s="14"/>
      <c r="AK58" s="14"/>
      <c r="AL58" s="14"/>
      <c r="AM58" s="5"/>
      <c r="AN58" s="5"/>
      <c r="AO58" s="63"/>
      <c r="AP58" s="5"/>
      <c r="AQ58" s="5"/>
      <c r="AR58" s="5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2:61">
      <c r="B59" s="193"/>
      <c r="C59" s="146"/>
      <c r="D59" s="195"/>
      <c r="E59" s="196"/>
      <c r="F59" s="197"/>
      <c r="G59" s="198"/>
      <c r="H59" s="197"/>
      <c r="M59" s="274"/>
      <c r="R59" s="274"/>
      <c r="T59" s="146"/>
      <c r="U59" s="146"/>
      <c r="V59" s="146"/>
      <c r="W59" s="146"/>
      <c r="X59" s="141"/>
      <c r="Z59" s="12"/>
      <c r="AA59" s="9"/>
      <c r="AB59" s="10"/>
      <c r="AC59" s="9"/>
      <c r="AD59" s="13"/>
      <c r="AE59" s="14"/>
      <c r="AF59" s="14"/>
      <c r="AG59" s="14"/>
      <c r="AH59" s="14"/>
      <c r="AI59" s="14"/>
      <c r="AJ59" s="14"/>
      <c r="AK59" s="14"/>
      <c r="AL59" s="14"/>
      <c r="AM59" s="5"/>
      <c r="AN59" s="5"/>
      <c r="AO59" s="63"/>
      <c r="AP59" s="5"/>
      <c r="AQ59" s="5"/>
      <c r="AR59" s="5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2:61">
      <c r="B60" s="181"/>
      <c r="C60" s="181"/>
      <c r="D60" s="181"/>
      <c r="E60" s="196"/>
      <c r="F60" s="197"/>
      <c r="G60" s="198"/>
      <c r="H60" s="197"/>
      <c r="X60" s="141"/>
      <c r="Z60" s="12"/>
      <c r="AA60" s="9"/>
      <c r="AB60" s="10"/>
      <c r="AC60" s="9"/>
      <c r="AD60" s="13"/>
      <c r="AE60" s="14"/>
      <c r="AF60" s="14"/>
      <c r="AG60" s="14"/>
      <c r="AH60" s="14"/>
      <c r="AI60" s="14"/>
      <c r="AJ60" s="14"/>
      <c r="AK60" s="14"/>
      <c r="AL60" s="14"/>
      <c r="AM60" s="5"/>
      <c r="AN60" s="5"/>
      <c r="AO60" s="63"/>
      <c r="AP60" s="5"/>
      <c r="AQ60" s="5"/>
      <c r="AR60" s="5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2:61">
      <c r="C61" s="181"/>
      <c r="D61" s="181"/>
      <c r="E61" s="196"/>
      <c r="F61" s="197"/>
      <c r="G61" s="198"/>
      <c r="H61" s="197"/>
      <c r="X61" s="11"/>
      <c r="Z61" s="12"/>
      <c r="AA61" s="9"/>
      <c r="AB61" s="10"/>
      <c r="AC61" s="9"/>
      <c r="AD61" s="13"/>
      <c r="AE61" s="14"/>
      <c r="AF61" s="14"/>
      <c r="AG61" s="14"/>
      <c r="AH61" s="14"/>
      <c r="AI61" s="14"/>
      <c r="AJ61" s="14"/>
      <c r="AK61" s="14"/>
      <c r="AL61" s="14"/>
      <c r="AM61" s="5"/>
      <c r="AN61" s="5"/>
      <c r="AO61" s="63"/>
      <c r="AP61" s="5"/>
      <c r="AQ61" s="5"/>
      <c r="AR61" s="5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2:61">
      <c r="B62" s="199"/>
      <c r="C62" s="200"/>
      <c r="D62" s="200"/>
      <c r="E62" s="196"/>
      <c r="F62" s="197"/>
      <c r="G62" s="198"/>
      <c r="H62" s="197"/>
      <c r="T62" s="11"/>
      <c r="U62" s="11"/>
      <c r="V62" s="11"/>
      <c r="W62" s="11"/>
    </row>
    <row r="63" spans="2:61">
      <c r="B63" s="201"/>
      <c r="C63" s="201"/>
      <c r="D63" s="201"/>
      <c r="E63" s="196"/>
      <c r="F63" s="197"/>
      <c r="G63" s="198"/>
      <c r="H63" s="197"/>
    </row>
    <row r="64" spans="2:61">
      <c r="B64" s="201"/>
      <c r="C64" s="201"/>
      <c r="D64" s="201"/>
      <c r="E64" s="196"/>
      <c r="F64" s="197"/>
      <c r="G64" s="198"/>
      <c r="H64" s="197"/>
    </row>
    <row r="65" spans="2:35">
      <c r="B65" s="201"/>
      <c r="C65" s="201"/>
      <c r="D65" s="201"/>
      <c r="S65" s="11"/>
    </row>
    <row r="66" spans="2:35">
      <c r="B66" s="201"/>
      <c r="C66" s="201"/>
      <c r="D66" s="201"/>
      <c r="X66" s="11"/>
    </row>
    <row r="67" spans="2:35">
      <c r="B67" s="201"/>
      <c r="C67" s="201"/>
      <c r="D67" s="201"/>
      <c r="AC67" s="202"/>
      <c r="AI67" s="202"/>
    </row>
    <row r="68" spans="2:35">
      <c r="AI68" s="203"/>
    </row>
    <row r="69" spans="2:35">
      <c r="AI69" s="203"/>
    </row>
  </sheetData>
  <mergeCells count="19">
    <mergeCell ref="O31:R31"/>
    <mergeCell ref="J31:M31"/>
    <mergeCell ref="B15:H15"/>
    <mergeCell ref="B16:C16"/>
    <mergeCell ref="D16:H16"/>
    <mergeCell ref="B27:B28"/>
    <mergeCell ref="AD29:AG29"/>
    <mergeCell ref="B30:C30"/>
    <mergeCell ref="T19:W19"/>
    <mergeCell ref="Y29:AB29"/>
    <mergeCell ref="B5:B7"/>
    <mergeCell ref="C5:C7"/>
    <mergeCell ref="D5:D7"/>
    <mergeCell ref="E5:E7"/>
    <mergeCell ref="B1:E1"/>
    <mergeCell ref="B3:E4"/>
    <mergeCell ref="J3:M3"/>
    <mergeCell ref="O3:R3"/>
    <mergeCell ref="AK3:AL3"/>
  </mergeCells>
  <pageMargins left="0.2" right="0.2" top="0.25" bottom="0.25" header="0.3" footer="0.3"/>
  <pageSetup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61"/>
  <sheetViews>
    <sheetView zoomScale="75" zoomScaleNormal="75" workbookViewId="0">
      <selection activeCell="Q21" sqref="Q21"/>
    </sheetView>
  </sheetViews>
  <sheetFormatPr defaultColWidth="9.140625" defaultRowHeight="15"/>
  <cols>
    <col min="1" max="1" width="4.85546875" style="275" customWidth="1"/>
    <col min="2" max="2" width="34.140625" style="275" customWidth="1"/>
    <col min="3" max="3" width="12.5703125" style="275" customWidth="1"/>
    <col min="4" max="4" width="14" style="275" customWidth="1"/>
    <col min="5" max="8" width="12.7109375" style="276" customWidth="1"/>
    <col min="9" max="9" width="3.7109375" style="275" customWidth="1"/>
    <col min="10" max="10" width="32.5703125" style="275" customWidth="1"/>
    <col min="11" max="11" width="13.5703125" style="275" bestFit="1" customWidth="1"/>
    <col min="12" max="12" width="22" style="275" customWidth="1"/>
    <col min="13" max="13" width="14.85546875" style="275" bestFit="1" customWidth="1"/>
    <col min="14" max="14" width="9.140625" style="275" customWidth="1"/>
    <col min="15" max="15" width="13.85546875" style="275" customWidth="1"/>
    <col min="16" max="16" width="9.140625" style="275"/>
    <col min="17" max="18" width="10" style="275" bestFit="1" customWidth="1"/>
    <col min="19" max="16384" width="9.140625" style="275"/>
  </cols>
  <sheetData>
    <row r="2" spans="2:22" ht="15.75" thickBot="1"/>
    <row r="3" spans="2:22" ht="29.25" customHeight="1" thickBot="1">
      <c r="B3" s="559" t="s">
        <v>153</v>
      </c>
      <c r="C3" s="560"/>
      <c r="D3" s="560"/>
      <c r="E3" s="560"/>
      <c r="F3" s="560"/>
      <c r="G3" s="560"/>
      <c r="H3" s="561"/>
      <c r="I3" s="277"/>
      <c r="J3" s="562" t="s">
        <v>154</v>
      </c>
      <c r="K3" s="563"/>
      <c r="L3" s="563"/>
      <c r="M3" s="564"/>
    </row>
    <row r="4" spans="2:22">
      <c r="B4" s="565" t="s">
        <v>155</v>
      </c>
      <c r="C4" s="566" t="s">
        <v>156</v>
      </c>
      <c r="D4" s="576" t="s">
        <v>46</v>
      </c>
      <c r="E4" s="568"/>
      <c r="F4" s="568"/>
      <c r="G4" s="568"/>
      <c r="H4" s="569"/>
      <c r="I4" s="277"/>
      <c r="J4" s="278" t="s">
        <v>157</v>
      </c>
      <c r="K4" s="279"/>
      <c r="L4" s="279" t="s">
        <v>158</v>
      </c>
      <c r="M4" s="280">
        <f>C19</f>
        <v>5000</v>
      </c>
    </row>
    <row r="5" spans="2:22">
      <c r="B5" s="281" t="s">
        <v>47</v>
      </c>
      <c r="C5" s="282">
        <f>56843.173453995*(2.72%+1)</f>
        <v>58389.30777194367</v>
      </c>
      <c r="D5" s="283" t="s">
        <v>159</v>
      </c>
      <c r="E5" s="284"/>
      <c r="F5" s="284"/>
      <c r="G5" s="284"/>
      <c r="H5" s="285"/>
      <c r="I5" s="277"/>
      <c r="J5" s="286"/>
      <c r="K5" s="287"/>
      <c r="L5" s="288"/>
      <c r="M5" s="289"/>
    </row>
    <row r="6" spans="2:22">
      <c r="B6" s="290" t="s">
        <v>160</v>
      </c>
      <c r="C6" s="282">
        <f>56843.173453995*(2.72%+1)</f>
        <v>58389.30777194367</v>
      </c>
      <c r="D6" s="291" t="s">
        <v>159</v>
      </c>
      <c r="E6" s="284"/>
      <c r="F6" s="284"/>
      <c r="G6" s="284"/>
      <c r="H6" s="285"/>
      <c r="I6" s="277"/>
      <c r="J6" s="292" t="s">
        <v>161</v>
      </c>
      <c r="K6" s="293" t="s">
        <v>27</v>
      </c>
      <c r="L6" s="293" t="s">
        <v>28</v>
      </c>
      <c r="M6" s="294" t="s">
        <v>29</v>
      </c>
    </row>
    <row r="7" spans="2:22">
      <c r="B7" s="295" t="s">
        <v>162</v>
      </c>
      <c r="C7" s="507">
        <v>30745</v>
      </c>
      <c r="D7" s="296" t="s">
        <v>198</v>
      </c>
      <c r="E7" s="297"/>
      <c r="F7" s="297"/>
      <c r="G7" s="297"/>
      <c r="H7" s="298"/>
      <c r="I7" s="277"/>
      <c r="J7" s="299" t="str">
        <f t="shared" ref="J7:K9" si="0">B5</f>
        <v>Management</v>
      </c>
      <c r="K7" s="300">
        <f t="shared" si="0"/>
        <v>58389.30777194367</v>
      </c>
      <c r="L7" s="301">
        <f>C9</f>
        <v>0.24804664734190279</v>
      </c>
      <c r="M7" s="302">
        <f>K7*L7</f>
        <v>14483.272033445135</v>
      </c>
      <c r="O7" s="422"/>
      <c r="P7" s="426"/>
    </row>
    <row r="8" spans="2:22">
      <c r="B8" s="557" t="s">
        <v>163</v>
      </c>
      <c r="C8" s="570"/>
      <c r="D8" s="303"/>
      <c r="E8" s="284"/>
      <c r="F8" s="284"/>
      <c r="G8" s="284"/>
      <c r="H8" s="285"/>
      <c r="I8" s="277"/>
      <c r="J8" s="304" t="str">
        <f t="shared" si="0"/>
        <v>Medical</v>
      </c>
      <c r="K8" s="300">
        <f t="shared" si="0"/>
        <v>58389.30777194367</v>
      </c>
      <c r="L8" s="301">
        <f>C10</f>
        <v>1.0966948180864138</v>
      </c>
      <c r="M8" s="302">
        <f>K8*L8</f>
        <v>64035.251265143386</v>
      </c>
      <c r="O8" s="422"/>
    </row>
    <row r="9" spans="2:22">
      <c r="B9" s="305" t="s">
        <v>47</v>
      </c>
      <c r="C9" s="306">
        <v>0.24804664734190279</v>
      </c>
      <c r="D9" s="303" t="s">
        <v>164</v>
      </c>
      <c r="E9" s="284"/>
      <c r="F9" s="284"/>
      <c r="G9" s="284"/>
      <c r="H9" s="285"/>
      <c r="I9" s="277"/>
      <c r="J9" s="299" t="str">
        <f t="shared" si="0"/>
        <v>Direct Care Blend</v>
      </c>
      <c r="K9" s="300">
        <f t="shared" si="0"/>
        <v>30745</v>
      </c>
      <c r="L9" s="301">
        <f>C11</f>
        <v>3.3461944216962207</v>
      </c>
      <c r="M9" s="302">
        <f>K9*L9</f>
        <v>102878.74749505031</v>
      </c>
      <c r="O9" s="422"/>
    </row>
    <row r="10" spans="2:22">
      <c r="B10" s="290" t="s">
        <v>160</v>
      </c>
      <c r="C10" s="306">
        <v>1.0966948180864138</v>
      </c>
      <c r="D10" s="303" t="s">
        <v>164</v>
      </c>
      <c r="E10" s="284"/>
      <c r="F10" s="284"/>
      <c r="G10" s="284"/>
      <c r="H10" s="285"/>
      <c r="I10" s="277"/>
      <c r="J10" s="292" t="s">
        <v>165</v>
      </c>
      <c r="K10" s="307"/>
      <c r="L10" s="308">
        <f>ROUNDUP(SUM(L7:L9),2)</f>
        <v>4.7</v>
      </c>
      <c r="M10" s="309">
        <f>SUM(M7:M9)</f>
        <v>181397.27079363883</v>
      </c>
    </row>
    <row r="11" spans="2:22">
      <c r="B11" s="295" t="s">
        <v>162</v>
      </c>
      <c r="C11" s="310">
        <v>3.3461944216962207</v>
      </c>
      <c r="D11" s="311" t="s">
        <v>164</v>
      </c>
      <c r="E11" s="297"/>
      <c r="F11" s="297"/>
      <c r="G11" s="297"/>
      <c r="H11" s="298"/>
      <c r="I11" s="277"/>
      <c r="J11" s="312"/>
      <c r="K11" s="313"/>
      <c r="L11" s="314"/>
      <c r="M11" s="315"/>
    </row>
    <row r="12" spans="2:22">
      <c r="B12" s="557" t="s">
        <v>65</v>
      </c>
      <c r="C12" s="558"/>
      <c r="D12" s="316"/>
      <c r="E12" s="284"/>
      <c r="F12" s="284"/>
      <c r="G12" s="284"/>
      <c r="H12" s="285"/>
      <c r="I12" s="277"/>
      <c r="J12" s="317" t="s">
        <v>166</v>
      </c>
      <c r="K12" s="318">
        <f>C13</f>
        <v>0.20839660218431008</v>
      </c>
      <c r="L12" s="313"/>
      <c r="M12" s="302">
        <f>K12*M10</f>
        <v>37802.57487890152</v>
      </c>
    </row>
    <row r="13" spans="2:22" ht="15.75" thickBot="1">
      <c r="B13" s="290" t="s">
        <v>40</v>
      </c>
      <c r="C13" s="319">
        <v>0.20839660218431008</v>
      </c>
      <c r="D13" s="303" t="s">
        <v>167</v>
      </c>
      <c r="E13" s="284"/>
      <c r="F13" s="284"/>
      <c r="G13" s="284"/>
      <c r="H13" s="285"/>
      <c r="I13" s="277"/>
      <c r="J13" s="320" t="s">
        <v>41</v>
      </c>
      <c r="K13" s="321"/>
      <c r="L13" s="322"/>
      <c r="M13" s="323">
        <f>SUM(M10:M12)</f>
        <v>219199.84567254037</v>
      </c>
    </row>
    <row r="14" spans="2:22" ht="15.75" thickTop="1">
      <c r="B14" s="290" t="s">
        <v>168</v>
      </c>
      <c r="C14" s="423">
        <f>1125.27078702806*(2.72%+1)</f>
        <v>1155.8781524352235</v>
      </c>
      <c r="D14" s="291" t="s">
        <v>169</v>
      </c>
      <c r="E14" s="284"/>
      <c r="F14" s="284"/>
      <c r="G14" s="284"/>
      <c r="H14" s="285"/>
      <c r="I14" s="277"/>
      <c r="J14" s="312"/>
      <c r="K14" s="314"/>
      <c r="L14" s="325"/>
      <c r="M14" s="326"/>
      <c r="V14" s="327"/>
    </row>
    <row r="15" spans="2:22">
      <c r="B15" s="290" t="s">
        <v>170</v>
      </c>
      <c r="C15" s="424">
        <f>1673.96392910385*(2.72%+1)</f>
        <v>1719.4957479754748</v>
      </c>
      <c r="D15" s="291" t="s">
        <v>169</v>
      </c>
      <c r="E15" s="284"/>
      <c r="F15" s="284"/>
      <c r="G15" s="284"/>
      <c r="H15" s="285"/>
      <c r="I15" s="277"/>
      <c r="J15" s="317" t="str">
        <f>B14</f>
        <v>Program Supplies (Per FTE)</v>
      </c>
      <c r="K15" s="328"/>
      <c r="L15" s="325"/>
      <c r="M15" s="302">
        <f>C14*L10</f>
        <v>5432.6273164455506</v>
      </c>
    </row>
    <row r="16" spans="2:22">
      <c r="B16" s="329" t="s">
        <v>171</v>
      </c>
      <c r="C16" s="330">
        <v>0.1287544484512875</v>
      </c>
      <c r="D16" s="303" t="s">
        <v>164</v>
      </c>
      <c r="E16" s="284"/>
      <c r="F16" s="284"/>
      <c r="G16" s="284"/>
      <c r="H16" s="285"/>
      <c r="I16" s="277"/>
      <c r="J16" s="331" t="str">
        <f>B15</f>
        <v>Client Transportation (Per FTE)</v>
      </c>
      <c r="K16" s="328"/>
      <c r="L16" s="325"/>
      <c r="M16" s="332">
        <f>C15*L10</f>
        <v>8081.6300154847322</v>
      </c>
    </row>
    <row r="17" spans="2:17" ht="15.75" thickBot="1">
      <c r="B17" s="427" t="s">
        <v>199</v>
      </c>
      <c r="C17" s="428">
        <v>6.3E-3</v>
      </c>
      <c r="D17" s="429" t="s">
        <v>200</v>
      </c>
      <c r="E17" s="430"/>
      <c r="F17" s="284"/>
      <c r="G17" s="284"/>
      <c r="H17" s="285"/>
      <c r="I17" s="277"/>
      <c r="J17" s="320" t="s">
        <v>173</v>
      </c>
      <c r="K17" s="321"/>
      <c r="L17" s="321"/>
      <c r="M17" s="323">
        <f>SUM(M13:M16)</f>
        <v>232714.10300447064</v>
      </c>
    </row>
    <row r="18" spans="2:17" ht="16.5" thickTop="1" thickBot="1">
      <c r="B18" s="295" t="s">
        <v>172</v>
      </c>
      <c r="C18" s="333">
        <f>'FY20 Models - Proposed'!C38</f>
        <v>1.4200561009817744E-2</v>
      </c>
      <c r="D18" s="156" t="s">
        <v>305</v>
      </c>
      <c r="E18" s="334"/>
      <c r="F18" s="334"/>
      <c r="G18" s="334"/>
      <c r="H18" s="335"/>
      <c r="I18" s="277"/>
      <c r="J18" s="317" t="s">
        <v>171</v>
      </c>
      <c r="K18" s="318">
        <f>C16</f>
        <v>0.1287544484512875</v>
      </c>
      <c r="L18" s="313"/>
      <c r="M18" s="302">
        <f>K18*M17</f>
        <v>29962.975979176725</v>
      </c>
    </row>
    <row r="19" spans="2:17" ht="15.75" thickBot="1">
      <c r="B19" s="336" t="s">
        <v>174</v>
      </c>
      <c r="C19" s="337">
        <v>5000</v>
      </c>
      <c r="D19" s="338"/>
      <c r="E19" s="339"/>
      <c r="F19" s="339"/>
      <c r="G19" s="339"/>
      <c r="H19" s="340"/>
      <c r="I19" s="277"/>
      <c r="J19" s="345" t="s">
        <v>55</v>
      </c>
      <c r="K19" s="346"/>
      <c r="L19" s="346"/>
      <c r="M19" s="347">
        <f>SUM(M17:M18)</f>
        <v>262677.07898364734</v>
      </c>
    </row>
    <row r="20" spans="2:17">
      <c r="B20" s="341"/>
      <c r="C20" s="341"/>
      <c r="D20" s="341"/>
      <c r="E20" s="342"/>
      <c r="F20" s="342"/>
      <c r="G20" s="342"/>
      <c r="H20" s="342"/>
      <c r="I20" s="277"/>
      <c r="J20" s="317" t="s">
        <v>175</v>
      </c>
      <c r="K20" s="348">
        <f>C18</f>
        <v>1.4200561009817744E-2</v>
      </c>
      <c r="L20" s="349"/>
      <c r="M20" s="350">
        <f>M19+(M19*K20)</f>
        <v>266407.24086963537</v>
      </c>
    </row>
    <row r="21" spans="2:17" ht="15.75" thickBot="1">
      <c r="B21" s="341"/>
      <c r="C21" s="343"/>
      <c r="D21" s="343"/>
      <c r="E21" s="344"/>
      <c r="F21" s="344"/>
      <c r="G21" s="344"/>
      <c r="H21" s="344"/>
      <c r="I21" s="277"/>
      <c r="J21" s="434" t="str">
        <f>B17</f>
        <v>PFMLA Contribution to Trust Fund</v>
      </c>
      <c r="K21" s="435">
        <f>C17</f>
        <v>6.3E-3</v>
      </c>
      <c r="L21" s="436"/>
      <c r="M21" s="440">
        <f>(M10*(K20+1)*K21)</f>
        <v>1159.0312469687174</v>
      </c>
    </row>
    <row r="22" spans="2:17" ht="15.75" thickTop="1">
      <c r="B22" s="341"/>
      <c r="C22" s="343"/>
      <c r="D22" s="343"/>
      <c r="E22" s="344"/>
      <c r="F22" s="344"/>
      <c r="G22" s="344"/>
      <c r="H22" s="344"/>
      <c r="I22" s="277"/>
      <c r="J22" s="317" t="s">
        <v>107</v>
      </c>
      <c r="K22" s="348"/>
      <c r="L22" s="349"/>
      <c r="M22" s="350">
        <f>M21+M20</f>
        <v>267566.27211660409</v>
      </c>
    </row>
    <row r="23" spans="2:17">
      <c r="B23" s="341"/>
      <c r="C23" s="341"/>
      <c r="D23" s="341"/>
      <c r="E23" s="342"/>
      <c r="F23" s="342"/>
      <c r="G23" s="342"/>
      <c r="H23" s="342"/>
      <c r="I23" s="277"/>
      <c r="J23" s="353"/>
      <c r="K23" s="354"/>
      <c r="L23" s="349"/>
      <c r="M23" s="355" t="s">
        <v>176</v>
      </c>
    </row>
    <row r="24" spans="2:17" ht="15.75" thickBot="1">
      <c r="B24" s="351"/>
      <c r="C24" s="351"/>
      <c r="D24" s="351"/>
      <c r="E24" s="352"/>
      <c r="F24" s="352"/>
      <c r="G24" s="352"/>
      <c r="H24" s="352"/>
      <c r="I24" s="277"/>
      <c r="J24" s="358"/>
      <c r="K24" s="359"/>
      <c r="L24" s="360"/>
      <c r="M24" s="361">
        <f>(M22/M4)+0.01</f>
        <v>53.523254423320815</v>
      </c>
      <c r="Q24" s="457"/>
    </row>
    <row r="25" spans="2:17" ht="15.75" thickBot="1">
      <c r="B25" s="356"/>
      <c r="C25" s="356"/>
      <c r="D25" s="356"/>
      <c r="E25" s="357"/>
      <c r="F25" s="357"/>
      <c r="G25" s="357"/>
      <c r="H25" s="357"/>
      <c r="I25" s="277"/>
      <c r="J25" s="314"/>
      <c r="K25" s="318"/>
      <c r="L25" s="362" t="s">
        <v>177</v>
      </c>
      <c r="M25" s="363">
        <f>M24/4</f>
        <v>13.380813605830204</v>
      </c>
      <c r="P25" s="425"/>
    </row>
    <row r="26" spans="2:17">
      <c r="B26" s="356"/>
      <c r="C26" s="356"/>
      <c r="D26" s="356"/>
      <c r="E26" s="357"/>
      <c r="F26" s="357"/>
      <c r="G26" s="357"/>
      <c r="H26" s="357"/>
      <c r="I26" s="277"/>
      <c r="J26" s="314"/>
      <c r="K26" s="318"/>
      <c r="L26" s="362"/>
      <c r="M26" s="433"/>
      <c r="Q26" s="458"/>
    </row>
    <row r="27" spans="2:17" ht="29.25" customHeight="1" thickBot="1">
      <c r="B27" s="356"/>
      <c r="C27" s="356"/>
      <c r="D27" s="356"/>
      <c r="E27" s="357"/>
      <c r="F27" s="357"/>
      <c r="G27" s="357"/>
      <c r="H27" s="357"/>
      <c r="I27" s="277"/>
      <c r="L27" s="276"/>
    </row>
    <row r="28" spans="2:17" ht="15" customHeight="1" thickBot="1">
      <c r="B28" s="559" t="s">
        <v>153</v>
      </c>
      <c r="C28" s="560"/>
      <c r="D28" s="560"/>
      <c r="E28" s="560"/>
      <c r="F28" s="560"/>
      <c r="G28" s="560"/>
      <c r="H28" s="561"/>
      <c r="I28" s="277"/>
      <c r="J28" s="562" t="s">
        <v>178</v>
      </c>
      <c r="K28" s="563"/>
      <c r="L28" s="563"/>
      <c r="M28" s="564"/>
    </row>
    <row r="29" spans="2:17">
      <c r="B29" s="565" t="s">
        <v>45</v>
      </c>
      <c r="C29" s="566"/>
      <c r="D29" s="567" t="s">
        <v>46</v>
      </c>
      <c r="E29" s="568"/>
      <c r="F29" s="568"/>
      <c r="G29" s="568"/>
      <c r="H29" s="569"/>
      <c r="I29" s="277"/>
      <c r="J29" s="278" t="s">
        <v>157</v>
      </c>
      <c r="K29" s="279"/>
      <c r="L29" s="279" t="s">
        <v>158</v>
      </c>
      <c r="M29" s="280">
        <f>C43</f>
        <v>5000</v>
      </c>
    </row>
    <row r="30" spans="2:17">
      <c r="B30" s="281" t="s">
        <v>47</v>
      </c>
      <c r="C30" s="282">
        <f>C5</f>
        <v>58389.30777194367</v>
      </c>
      <c r="D30" s="283" t="s">
        <v>159</v>
      </c>
      <c r="E30" s="284"/>
      <c r="F30" s="284"/>
      <c r="G30" s="284"/>
      <c r="H30" s="285"/>
      <c r="J30" s="286"/>
      <c r="K30" s="287"/>
      <c r="L30" s="288"/>
      <c r="M30" s="289"/>
    </row>
    <row r="31" spans="2:17">
      <c r="B31" s="290" t="s">
        <v>160</v>
      </c>
      <c r="C31" s="282">
        <f>C6</f>
        <v>58389.30777194367</v>
      </c>
      <c r="D31" s="291" t="s">
        <v>159</v>
      </c>
      <c r="E31" s="284"/>
      <c r="F31" s="284"/>
      <c r="G31" s="284"/>
      <c r="H31" s="285"/>
      <c r="J31" s="292" t="s">
        <v>161</v>
      </c>
      <c r="K31" s="293" t="s">
        <v>27</v>
      </c>
      <c r="L31" s="293" t="s">
        <v>28</v>
      </c>
      <c r="M31" s="294" t="s">
        <v>29</v>
      </c>
    </row>
    <row r="32" spans="2:17">
      <c r="B32" s="295" t="s">
        <v>162</v>
      </c>
      <c r="C32" s="507">
        <v>30745</v>
      </c>
      <c r="D32" s="296" t="s">
        <v>198</v>
      </c>
      <c r="E32" s="297"/>
      <c r="F32" s="297"/>
      <c r="G32" s="297"/>
      <c r="H32" s="298"/>
      <c r="J32" s="299" t="str">
        <f t="shared" ref="J32:K34" si="1">B30</f>
        <v>Management</v>
      </c>
      <c r="K32" s="300">
        <f t="shared" si="1"/>
        <v>58389.30777194367</v>
      </c>
      <c r="L32" s="301">
        <f>C34</f>
        <v>0.24804664734190279</v>
      </c>
      <c r="M32" s="302">
        <f>L32*K32</f>
        <v>14483.272033445135</v>
      </c>
    </row>
    <row r="33" spans="2:17">
      <c r="B33" s="557" t="s">
        <v>163</v>
      </c>
      <c r="C33" s="570"/>
      <c r="D33" s="316"/>
      <c r="E33" s="284"/>
      <c r="F33" s="284"/>
      <c r="G33" s="284"/>
      <c r="H33" s="285"/>
      <c r="J33" s="299" t="str">
        <f t="shared" si="1"/>
        <v>Medical</v>
      </c>
      <c r="K33" s="300">
        <f t="shared" si="1"/>
        <v>58389.30777194367</v>
      </c>
      <c r="L33" s="301">
        <f>C35</f>
        <v>1.0966948180864138</v>
      </c>
      <c r="M33" s="302">
        <f t="shared" ref="M33:M34" si="2">L33*K33</f>
        <v>64035.251265143386</v>
      </c>
    </row>
    <row r="34" spans="2:17">
      <c r="B34" s="305" t="s">
        <v>47</v>
      </c>
      <c r="C34" s="306">
        <v>0.24804664734190279</v>
      </c>
      <c r="D34" s="303" t="s">
        <v>164</v>
      </c>
      <c r="E34" s="284"/>
      <c r="F34" s="284"/>
      <c r="G34" s="284"/>
      <c r="H34" s="285"/>
      <c r="J34" s="299" t="str">
        <f t="shared" si="1"/>
        <v>Direct Care Blend</v>
      </c>
      <c r="K34" s="300">
        <f t="shared" si="1"/>
        <v>30745</v>
      </c>
      <c r="L34" s="301">
        <f>C36</f>
        <v>3.3461944216962207</v>
      </c>
      <c r="M34" s="302">
        <f t="shared" si="2"/>
        <v>102878.74749505031</v>
      </c>
    </row>
    <row r="35" spans="2:17">
      <c r="B35" s="290" t="s">
        <v>160</v>
      </c>
      <c r="C35" s="306">
        <v>1.0966948180864138</v>
      </c>
      <c r="D35" s="303" t="s">
        <v>164</v>
      </c>
      <c r="E35" s="284"/>
      <c r="F35" s="284"/>
      <c r="G35" s="284"/>
      <c r="H35" s="285"/>
      <c r="J35" s="292" t="s">
        <v>165</v>
      </c>
      <c r="K35" s="307"/>
      <c r="L35" s="308">
        <f>ROUNDUP(SUM(L32:L34),2)</f>
        <v>4.7</v>
      </c>
      <c r="M35" s="309">
        <f>SUM(M32:M34)</f>
        <v>181397.27079363883</v>
      </c>
    </row>
    <row r="36" spans="2:17">
      <c r="B36" s="295" t="s">
        <v>162</v>
      </c>
      <c r="C36" s="310">
        <v>3.3461944216962207</v>
      </c>
      <c r="D36" s="311" t="s">
        <v>164</v>
      </c>
      <c r="E36" s="297"/>
      <c r="F36" s="297"/>
      <c r="G36" s="297"/>
      <c r="H36" s="298"/>
      <c r="J36" s="312"/>
      <c r="K36" s="313"/>
      <c r="L36" s="314"/>
      <c r="M36" s="315"/>
    </row>
    <row r="37" spans="2:17">
      <c r="B37" s="557" t="s">
        <v>65</v>
      </c>
      <c r="C37" s="570"/>
      <c r="D37" s="303"/>
      <c r="E37" s="284"/>
      <c r="F37" s="284"/>
      <c r="G37" s="284"/>
      <c r="H37" s="285"/>
      <c r="J37" s="317" t="str">
        <f>B38</f>
        <v>Taxes &amp; Fringe</v>
      </c>
      <c r="K37" s="318">
        <f>C38</f>
        <v>0.20839660218431008</v>
      </c>
      <c r="L37" s="313"/>
      <c r="M37" s="302">
        <f>K37*M35</f>
        <v>37802.57487890152</v>
      </c>
    </row>
    <row r="38" spans="2:17" ht="15.75" thickBot="1">
      <c r="B38" s="290" t="s">
        <v>40</v>
      </c>
      <c r="C38" s="319">
        <v>0.20839660218431008</v>
      </c>
      <c r="D38" s="303" t="s">
        <v>167</v>
      </c>
      <c r="E38" s="284"/>
      <c r="F38" s="284"/>
      <c r="G38" s="284"/>
      <c r="H38" s="285"/>
      <c r="J38" s="320" t="s">
        <v>41</v>
      </c>
      <c r="K38" s="321"/>
      <c r="L38" s="322"/>
      <c r="M38" s="323">
        <f>SUM(M35:M37)</f>
        <v>219199.84567254037</v>
      </c>
    </row>
    <row r="39" spans="2:17" ht="15.75" thickTop="1">
      <c r="B39" s="290" t="s">
        <v>168</v>
      </c>
      <c r="C39" s="324">
        <f>C14</f>
        <v>1155.8781524352235</v>
      </c>
      <c r="D39" s="291" t="s">
        <v>169</v>
      </c>
      <c r="E39" s="284"/>
      <c r="F39" s="284"/>
      <c r="G39" s="284"/>
      <c r="H39" s="285"/>
      <c r="J39" s="312"/>
      <c r="K39" s="314"/>
      <c r="L39" s="325"/>
      <c r="M39" s="326"/>
    </row>
    <row r="40" spans="2:17">
      <c r="B40" s="329" t="s">
        <v>171</v>
      </c>
      <c r="C40" s="330">
        <v>0.1287544484512875</v>
      </c>
      <c r="D40" s="303" t="s">
        <v>164</v>
      </c>
      <c r="E40" s="284"/>
      <c r="F40" s="284"/>
      <c r="G40" s="284"/>
      <c r="H40" s="285"/>
      <c r="J40" s="317" t="s">
        <v>179</v>
      </c>
      <c r="K40" s="328"/>
      <c r="L40" s="364">
        <f>C39</f>
        <v>1155.8781524352235</v>
      </c>
      <c r="M40" s="302">
        <f>C39*L35</f>
        <v>5432.6273164455506</v>
      </c>
    </row>
    <row r="41" spans="2:17" ht="15.75" thickBot="1">
      <c r="B41" s="427" t="str">
        <f>B17</f>
        <v>PFMLA Contribution to Trust Fund</v>
      </c>
      <c r="C41" s="428">
        <f>C17</f>
        <v>6.3E-3</v>
      </c>
      <c r="D41" s="429" t="s">
        <v>200</v>
      </c>
      <c r="E41" s="284"/>
      <c r="F41" s="284"/>
      <c r="G41" s="284"/>
      <c r="H41" s="285"/>
      <c r="J41" s="320" t="s">
        <v>173</v>
      </c>
      <c r="K41" s="321"/>
      <c r="L41" s="321"/>
      <c r="M41" s="323">
        <f>SUM(M38:M40)</f>
        <v>224632.47298898592</v>
      </c>
    </row>
    <row r="42" spans="2:17" ht="16.5" thickTop="1" thickBot="1">
      <c r="B42" s="295" t="s">
        <v>172</v>
      </c>
      <c r="C42" s="333">
        <f>C18</f>
        <v>1.4200561009817744E-2</v>
      </c>
      <c r="D42" s="156" t="s">
        <v>305</v>
      </c>
      <c r="E42" s="297"/>
      <c r="F42" s="297"/>
      <c r="G42" s="297"/>
      <c r="H42" s="298"/>
      <c r="J42" s="317" t="s">
        <v>171</v>
      </c>
      <c r="K42" s="318">
        <f>C40</f>
        <v>0.1287544484512875</v>
      </c>
      <c r="L42" s="313"/>
      <c r="M42" s="302">
        <f>K42*M41</f>
        <v>28922.430163945621</v>
      </c>
    </row>
    <row r="43" spans="2:17" ht="15.75" thickBot="1">
      <c r="B43" s="365" t="s">
        <v>174</v>
      </c>
      <c r="C43" s="366">
        <v>5000</v>
      </c>
      <c r="D43" s="367"/>
      <c r="E43" s="368"/>
      <c r="F43" s="368"/>
      <c r="G43" s="368"/>
      <c r="H43" s="369"/>
      <c r="J43" s="345" t="s">
        <v>55</v>
      </c>
      <c r="K43" s="346"/>
      <c r="L43" s="346"/>
      <c r="M43" s="347">
        <f>SUM(M41:M42)</f>
        <v>253554.90315293154</v>
      </c>
    </row>
    <row r="44" spans="2:17">
      <c r="E44" s="370"/>
      <c r="J44" s="317" t="s">
        <v>175</v>
      </c>
      <c r="K44" s="348">
        <f>C42</f>
        <v>1.4200561009817744E-2</v>
      </c>
      <c r="L44" s="313"/>
      <c r="M44" s="350">
        <f>M43+(M43*K44)</f>
        <v>257155.52502449317</v>
      </c>
    </row>
    <row r="45" spans="2:17" ht="15.75" thickBot="1">
      <c r="E45" s="370"/>
      <c r="J45" s="434" t="str">
        <f>B41</f>
        <v>PFMLA Contribution to Trust Fund</v>
      </c>
      <c r="K45" s="435">
        <f>C41</f>
        <v>6.3E-3</v>
      </c>
      <c r="L45" s="437"/>
      <c r="M45" s="440">
        <f>(M35*(K44+1)*K45)</f>
        <v>1159.0312469687174</v>
      </c>
    </row>
    <row r="46" spans="2:17" ht="15.75" thickTop="1">
      <c r="E46" s="370"/>
      <c r="J46" s="317" t="s">
        <v>107</v>
      </c>
      <c r="K46" s="348"/>
      <c r="L46" s="313"/>
      <c r="M46" s="350">
        <f>M45+M44</f>
        <v>258314.55627146189</v>
      </c>
    </row>
    <row r="47" spans="2:17">
      <c r="E47" s="370"/>
      <c r="J47" s="353"/>
      <c r="K47" s="354"/>
      <c r="L47" s="349"/>
      <c r="M47" s="355" t="s">
        <v>176</v>
      </c>
    </row>
    <row r="48" spans="2:17" ht="15.75" thickBot="1">
      <c r="E48" s="370"/>
      <c r="J48" s="358"/>
      <c r="K48" s="359"/>
      <c r="L48" s="360"/>
      <c r="M48" s="371">
        <f>(M46/M29)+0.02</f>
        <v>51.682911254292378</v>
      </c>
      <c r="P48" s="425"/>
      <c r="Q48" s="457"/>
    </row>
    <row r="49" spans="2:17" ht="15.75" thickBot="1">
      <c r="E49" s="370"/>
      <c r="J49" s="314"/>
      <c r="K49" s="318"/>
      <c r="L49" s="362" t="s">
        <v>177</v>
      </c>
      <c r="M49" s="372">
        <f>M48/4</f>
        <v>12.920727813573095</v>
      </c>
      <c r="P49" s="425"/>
      <c r="Q49" s="458"/>
    </row>
    <row r="50" spans="2:17">
      <c r="E50" s="370"/>
      <c r="J50" s="314"/>
      <c r="K50" s="318"/>
      <c r="L50" s="362"/>
      <c r="M50" s="432"/>
    </row>
    <row r="51" spans="2:17" s="373" customFormat="1" ht="24" customHeight="1">
      <c r="B51" s="275"/>
      <c r="C51" s="275"/>
      <c r="D51" s="275"/>
      <c r="E51" s="370"/>
      <c r="F51" s="276"/>
      <c r="G51" s="276"/>
      <c r="H51" s="276"/>
      <c r="J51" s="314"/>
      <c r="K51" s="318"/>
      <c r="L51" s="362"/>
      <c r="M51" s="432"/>
    </row>
    <row r="52" spans="2:17" ht="15.75" thickBot="1">
      <c r="E52" s="370"/>
      <c r="L52" s="276"/>
    </row>
    <row r="53" spans="2:17" ht="15.75" thickBot="1">
      <c r="B53" s="559" t="s">
        <v>153</v>
      </c>
      <c r="C53" s="560"/>
      <c r="D53" s="560"/>
      <c r="E53" s="560"/>
      <c r="F53" s="560"/>
      <c r="G53" s="560"/>
      <c r="H53" s="561"/>
      <c r="I53" s="277"/>
      <c r="J53" s="571" t="s">
        <v>180</v>
      </c>
      <c r="K53" s="572"/>
      <c r="L53" s="572"/>
      <c r="M53" s="573"/>
    </row>
    <row r="54" spans="2:17">
      <c r="B54" s="574" t="s">
        <v>45</v>
      </c>
      <c r="C54" s="575"/>
      <c r="D54" s="567" t="s">
        <v>46</v>
      </c>
      <c r="E54" s="568"/>
      <c r="F54" s="568"/>
      <c r="G54" s="568"/>
      <c r="H54" s="569"/>
      <c r="I54" s="277"/>
      <c r="J54" s="278" t="s">
        <v>157</v>
      </c>
      <c r="K54" s="279"/>
      <c r="L54" s="279" t="s">
        <v>158</v>
      </c>
      <c r="M54" s="280">
        <f>E85</f>
        <v>1778</v>
      </c>
    </row>
    <row r="55" spans="2:17">
      <c r="B55" s="281" t="s">
        <v>47</v>
      </c>
      <c r="C55" s="282">
        <f>C30</f>
        <v>58389.30777194367</v>
      </c>
      <c r="D55" s="283" t="s">
        <v>159</v>
      </c>
      <c r="E55" s="284"/>
      <c r="F55" s="284"/>
      <c r="G55" s="284"/>
      <c r="H55" s="285"/>
      <c r="J55" s="286"/>
      <c r="K55" s="287"/>
      <c r="L55" s="288"/>
      <c r="M55" s="289"/>
    </row>
    <row r="56" spans="2:17">
      <c r="B56" s="290" t="s">
        <v>160</v>
      </c>
      <c r="C56" s="282">
        <f>C31</f>
        <v>58389.30777194367</v>
      </c>
      <c r="D56" s="291" t="s">
        <v>159</v>
      </c>
      <c r="E56" s="284"/>
      <c r="F56" s="284"/>
      <c r="G56" s="284"/>
      <c r="H56" s="285"/>
      <c r="J56" s="292" t="s">
        <v>161</v>
      </c>
      <c r="K56" s="293" t="s">
        <v>27</v>
      </c>
      <c r="L56" s="293" t="s">
        <v>28</v>
      </c>
      <c r="M56" s="294" t="s">
        <v>29</v>
      </c>
    </row>
    <row r="57" spans="2:17">
      <c r="B57" s="290" t="s">
        <v>133</v>
      </c>
      <c r="C57" s="282">
        <f>54466.2730071487*(2.72%+1)</f>
        <v>55947.755632943154</v>
      </c>
      <c r="D57" s="291" t="s">
        <v>159</v>
      </c>
      <c r="E57" s="284"/>
      <c r="F57" s="284"/>
      <c r="G57" s="284"/>
      <c r="H57" s="285"/>
      <c r="J57" s="299" t="str">
        <f t="shared" ref="J57:K61" si="3">B55</f>
        <v>Management</v>
      </c>
      <c r="K57" s="300">
        <f t="shared" si="3"/>
        <v>58389.30777194367</v>
      </c>
      <c r="L57" s="301">
        <f>C61</f>
        <v>0.15</v>
      </c>
      <c r="M57" s="302">
        <f>L57*K57</f>
        <v>8758.3961657915497</v>
      </c>
    </row>
    <row r="58" spans="2:17">
      <c r="B58" s="281" t="s">
        <v>162</v>
      </c>
      <c r="C58" s="508">
        <v>30745</v>
      </c>
      <c r="D58" s="296" t="s">
        <v>198</v>
      </c>
      <c r="E58" s="284"/>
      <c r="F58" s="284"/>
      <c r="G58" s="284"/>
      <c r="H58" s="285"/>
      <c r="J58" s="299" t="str">
        <f t="shared" si="3"/>
        <v>Medical</v>
      </c>
      <c r="K58" s="300">
        <f t="shared" si="3"/>
        <v>58389.30777194367</v>
      </c>
      <c r="L58" s="301">
        <f>C62</f>
        <v>0.35</v>
      </c>
      <c r="M58" s="302">
        <f t="shared" ref="M58:M61" si="4">L58*K58</f>
        <v>20436.257720180281</v>
      </c>
    </row>
    <row r="59" spans="2:17">
      <c r="B59" s="295" t="s">
        <v>181</v>
      </c>
      <c r="C59" s="507">
        <v>30745</v>
      </c>
      <c r="D59" s="296" t="s">
        <v>198</v>
      </c>
      <c r="E59" s="297"/>
      <c r="F59" s="297"/>
      <c r="G59" s="297"/>
      <c r="H59" s="298"/>
      <c r="J59" s="299" t="str">
        <f t="shared" si="3"/>
        <v>Clinical</v>
      </c>
      <c r="K59" s="300">
        <f t="shared" si="3"/>
        <v>55947.755632943154</v>
      </c>
      <c r="L59" s="301">
        <f>C63</f>
        <v>0.05</v>
      </c>
      <c r="M59" s="302">
        <f t="shared" si="4"/>
        <v>2797.3877816471577</v>
      </c>
    </row>
    <row r="60" spans="2:17">
      <c r="B60" s="557" t="s">
        <v>163</v>
      </c>
      <c r="C60" s="558"/>
      <c r="D60" s="374"/>
      <c r="E60" s="284"/>
      <c r="F60" s="284"/>
      <c r="G60" s="284"/>
      <c r="H60" s="285"/>
      <c r="J60" s="299" t="str">
        <f t="shared" si="3"/>
        <v>Direct Care Blend</v>
      </c>
      <c r="K60" s="300">
        <f t="shared" si="3"/>
        <v>30745</v>
      </c>
      <c r="L60" s="301">
        <f>C64</f>
        <v>0.6</v>
      </c>
      <c r="M60" s="302">
        <f t="shared" si="4"/>
        <v>18447</v>
      </c>
    </row>
    <row r="61" spans="2:17">
      <c r="B61" s="305" t="s">
        <v>47</v>
      </c>
      <c r="C61" s="306">
        <v>0.15</v>
      </c>
      <c r="D61" s="374" t="s">
        <v>164</v>
      </c>
      <c r="E61" s="284"/>
      <c r="F61" s="284"/>
      <c r="G61" s="284"/>
      <c r="H61" s="285"/>
      <c r="J61" s="299" t="str">
        <f t="shared" si="3"/>
        <v>Support</v>
      </c>
      <c r="K61" s="300">
        <f t="shared" si="3"/>
        <v>30745</v>
      </c>
      <c r="L61" s="301">
        <f>C65</f>
        <v>0.05</v>
      </c>
      <c r="M61" s="302">
        <f t="shared" si="4"/>
        <v>1537.25</v>
      </c>
    </row>
    <row r="62" spans="2:17">
      <c r="B62" s="290" t="s">
        <v>160</v>
      </c>
      <c r="C62" s="306">
        <v>0.35</v>
      </c>
      <c r="D62" s="374" t="s">
        <v>164</v>
      </c>
      <c r="E62" s="284"/>
      <c r="F62" s="284"/>
      <c r="G62" s="284"/>
      <c r="H62" s="285"/>
      <c r="J62" s="292" t="s">
        <v>165</v>
      </c>
      <c r="K62" s="307"/>
      <c r="L62" s="308">
        <f>SUM(L57:L61)</f>
        <v>1.2</v>
      </c>
      <c r="M62" s="309">
        <f>SUM(M57:M61)</f>
        <v>51976.291667618993</v>
      </c>
    </row>
    <row r="63" spans="2:17">
      <c r="B63" s="290" t="s">
        <v>133</v>
      </c>
      <c r="C63" s="306">
        <v>0.05</v>
      </c>
      <c r="D63" s="374" t="s">
        <v>164</v>
      </c>
      <c r="E63" s="284"/>
      <c r="F63" s="284"/>
      <c r="G63" s="284"/>
      <c r="H63" s="285"/>
      <c r="J63" s="312"/>
      <c r="K63" s="313"/>
      <c r="L63" s="314"/>
      <c r="M63" s="315"/>
    </row>
    <row r="64" spans="2:17">
      <c r="B64" s="281" t="s">
        <v>162</v>
      </c>
      <c r="C64" s="306">
        <v>0.6</v>
      </c>
      <c r="D64" s="374" t="s">
        <v>164</v>
      </c>
      <c r="E64" s="284"/>
      <c r="F64" s="284"/>
      <c r="G64" s="284"/>
      <c r="H64" s="285"/>
      <c r="J64" s="317" t="s">
        <v>40</v>
      </c>
      <c r="K64" s="318">
        <f>C67</f>
        <v>0.20839660218431008</v>
      </c>
      <c r="L64" s="313"/>
      <c r="M64" s="302">
        <f>K64*M62</f>
        <v>10831.682577672465</v>
      </c>
    </row>
    <row r="65" spans="2:18" ht="15.75" thickBot="1">
      <c r="B65" s="295" t="s">
        <v>181</v>
      </c>
      <c r="C65" s="310">
        <v>0.05</v>
      </c>
      <c r="D65" s="375" t="s">
        <v>164</v>
      </c>
      <c r="E65" s="297"/>
      <c r="F65" s="297"/>
      <c r="G65" s="297"/>
      <c r="H65" s="298"/>
      <c r="J65" s="320" t="s">
        <v>41</v>
      </c>
      <c r="K65" s="321"/>
      <c r="L65" s="322"/>
      <c r="M65" s="376">
        <f>SUM(M62:M64)</f>
        <v>62807.974245291458</v>
      </c>
    </row>
    <row r="66" spans="2:18" ht="15.75" thickTop="1">
      <c r="B66" s="557" t="s">
        <v>65</v>
      </c>
      <c r="C66" s="558"/>
      <c r="D66" s="374"/>
      <c r="E66" s="284"/>
      <c r="F66" s="284"/>
      <c r="G66" s="284"/>
      <c r="H66" s="285"/>
      <c r="J66" s="312"/>
      <c r="K66" s="314"/>
      <c r="L66" s="325"/>
      <c r="M66" s="377"/>
    </row>
    <row r="67" spans="2:18">
      <c r="B67" s="290" t="s">
        <v>40</v>
      </c>
      <c r="C67" s="378">
        <v>0.20839660218431008</v>
      </c>
      <c r="D67" s="374" t="s">
        <v>167</v>
      </c>
      <c r="E67" s="284"/>
      <c r="F67" s="284"/>
      <c r="G67" s="284"/>
      <c r="H67" s="285"/>
      <c r="J67" s="317" t="str">
        <f>B68</f>
        <v>Occupancy (Per FTE)</v>
      </c>
      <c r="K67" s="314"/>
      <c r="L67" s="364">
        <f>C68</f>
        <v>2616.693431054458</v>
      </c>
      <c r="M67" s="377">
        <f>L67*L62</f>
        <v>3140.0321172653494</v>
      </c>
    </row>
    <row r="68" spans="2:18">
      <c r="B68" s="290" t="s">
        <v>182</v>
      </c>
      <c r="C68" s="328">
        <f>2547.40404113557*(2.72%+1)</f>
        <v>2616.693431054458</v>
      </c>
      <c r="D68" s="374" t="s">
        <v>183</v>
      </c>
      <c r="E68" s="284"/>
      <c r="F68" s="284"/>
      <c r="G68" s="284"/>
      <c r="H68" s="285"/>
      <c r="J68" s="317" t="str">
        <f>B69</f>
        <v>Other Program Expense (Per FTE</v>
      </c>
      <c r="K68" s="314"/>
      <c r="L68" s="364">
        <f>C69</f>
        <v>1278.848400627689</v>
      </c>
      <c r="M68" s="377">
        <f>L68*L62</f>
        <v>1534.6180807532266</v>
      </c>
    </row>
    <row r="69" spans="2:18" ht="15.75" thickBot="1">
      <c r="B69" s="290" t="s">
        <v>184</v>
      </c>
      <c r="C69" s="328">
        <f>1244.98481369518*(2.72%+1)</f>
        <v>1278.848400627689</v>
      </c>
      <c r="D69" s="291" t="s">
        <v>169</v>
      </c>
      <c r="E69" s="284"/>
      <c r="F69" s="284"/>
      <c r="G69" s="284"/>
      <c r="H69" s="285"/>
      <c r="J69" s="320" t="s">
        <v>173</v>
      </c>
      <c r="K69" s="321"/>
      <c r="L69" s="321"/>
      <c r="M69" s="379">
        <f>SUM(M65:M68)</f>
        <v>67482.624443310022</v>
      </c>
    </row>
    <row r="70" spans="2:18" ht="15.75" thickTop="1">
      <c r="B70" s="380" t="s">
        <v>171</v>
      </c>
      <c r="C70" s="381">
        <v>0.1287544484512875</v>
      </c>
      <c r="D70" s="375" t="s">
        <v>185</v>
      </c>
      <c r="E70" s="297"/>
      <c r="F70" s="297"/>
      <c r="G70" s="297"/>
      <c r="H70" s="298"/>
      <c r="J70" s="317" t="str">
        <f>B70</f>
        <v>Admin. Allocation</v>
      </c>
      <c r="K70" s="318">
        <f>C70</f>
        <v>0.1287544484512875</v>
      </c>
      <c r="L70" s="313"/>
      <c r="M70" s="302">
        <f>K70*M69</f>
        <v>8688.6880902437533</v>
      </c>
    </row>
    <row r="71" spans="2:18" ht="15.75" thickBot="1">
      <c r="B71" s="427" t="str">
        <f>B41</f>
        <v>PFMLA Contribution to Trust Fund</v>
      </c>
      <c r="C71" s="431">
        <f>C41</f>
        <v>6.3E-3</v>
      </c>
      <c r="D71" s="429" t="s">
        <v>200</v>
      </c>
      <c r="E71" s="284"/>
      <c r="F71" s="284"/>
      <c r="G71" s="284"/>
      <c r="H71" s="285"/>
      <c r="J71" s="345" t="s">
        <v>55</v>
      </c>
      <c r="K71" s="346"/>
      <c r="L71" s="346"/>
      <c r="M71" s="386">
        <f>SUM(M69:M70)</f>
        <v>76171.312533553777</v>
      </c>
    </row>
    <row r="72" spans="2:18" ht="16.5" thickTop="1" thickBot="1">
      <c r="B72" s="382" t="s">
        <v>172</v>
      </c>
      <c r="C72" s="383">
        <f>C42</f>
        <v>1.4200561009817744E-2</v>
      </c>
      <c r="D72" s="156" t="s">
        <v>305</v>
      </c>
      <c r="E72" s="384"/>
      <c r="F72" s="384"/>
      <c r="G72" s="384"/>
      <c r="H72" s="385"/>
      <c r="J72" s="390" t="s">
        <v>175</v>
      </c>
      <c r="K72" s="348">
        <f>C72</f>
        <v>1.4200561009817744E-2</v>
      </c>
      <c r="L72" s="349"/>
      <c r="M72" s="302">
        <f>M71+(M71*K72)</f>
        <v>77252.987904384398</v>
      </c>
    </row>
    <row r="73" spans="2:18" ht="15.75" thickBot="1">
      <c r="E73" s="370"/>
      <c r="J73" s="438" t="str">
        <f>B71</f>
        <v>PFMLA Contribution to Trust Fund</v>
      </c>
      <c r="K73" s="435">
        <f>C71</f>
        <v>6.3E-3</v>
      </c>
      <c r="L73" s="436"/>
      <c r="M73" s="439">
        <f>(M62*(K72+1)*K73)</f>
        <v>332.10062026160733</v>
      </c>
    </row>
    <row r="74" spans="2:18" ht="15.75" thickTop="1">
      <c r="B74" s="387" t="s">
        <v>186</v>
      </c>
      <c r="C74" s="388" t="s">
        <v>187</v>
      </c>
      <c r="D74" s="388" t="s">
        <v>134</v>
      </c>
      <c r="E74" s="389" t="s">
        <v>107</v>
      </c>
      <c r="J74" s="390" t="s">
        <v>107</v>
      </c>
      <c r="K74" s="348"/>
      <c r="L74" s="349"/>
      <c r="M74" s="302">
        <f>M73+M72</f>
        <v>77585.088524646009</v>
      </c>
      <c r="P74" s="425"/>
    </row>
    <row r="75" spans="2:18">
      <c r="B75" s="391" t="s">
        <v>188</v>
      </c>
      <c r="C75" s="392">
        <v>52</v>
      </c>
      <c r="D75" s="392">
        <v>40</v>
      </c>
      <c r="E75" s="393">
        <v>2080</v>
      </c>
      <c r="J75" s="394"/>
      <c r="K75" s="354"/>
      <c r="L75" s="349"/>
      <c r="M75" s="355" t="s">
        <v>176</v>
      </c>
    </row>
    <row r="76" spans="2:18" ht="15.75" thickBot="1">
      <c r="B76" s="395" t="s">
        <v>189</v>
      </c>
      <c r="C76" s="396"/>
      <c r="D76" s="396"/>
      <c r="E76" s="397"/>
      <c r="J76" s="398"/>
      <c r="K76" s="359"/>
      <c r="L76" s="360"/>
      <c r="M76" s="361">
        <f>M74/M54+0.02</f>
        <v>43.656157775391456</v>
      </c>
    </row>
    <row r="77" spans="2:18" ht="15.75" thickBot="1">
      <c r="B77" s="399" t="s">
        <v>190</v>
      </c>
      <c r="C77" s="400">
        <v>3</v>
      </c>
      <c r="D77" s="400">
        <v>40</v>
      </c>
      <c r="E77" s="401">
        <v>120</v>
      </c>
      <c r="J77" s="276"/>
      <c r="K77" s="276"/>
      <c r="L77" s="402" t="s">
        <v>177</v>
      </c>
      <c r="M77" s="403">
        <f>M76/4</f>
        <v>10.914039443847864</v>
      </c>
      <c r="P77" s="425"/>
      <c r="R77" s="457"/>
    </row>
    <row r="78" spans="2:18" s="410" customFormat="1" ht="20.100000000000001" customHeight="1">
      <c r="B78" s="404" t="s">
        <v>191</v>
      </c>
      <c r="C78" s="400">
        <v>2</v>
      </c>
      <c r="D78" s="400">
        <v>40</v>
      </c>
      <c r="E78" s="405">
        <v>80</v>
      </c>
      <c r="F78" s="276"/>
      <c r="G78" s="276"/>
      <c r="H78" s="276"/>
      <c r="J78" s="276"/>
      <c r="K78" s="276"/>
      <c r="L78" s="276"/>
      <c r="M78" s="275"/>
    </row>
    <row r="79" spans="2:18" s="410" customFormat="1" ht="20.100000000000001" customHeight="1">
      <c r="B79" s="399" t="s">
        <v>192</v>
      </c>
      <c r="C79" s="400">
        <v>47</v>
      </c>
      <c r="D79" s="400">
        <v>1</v>
      </c>
      <c r="E79" s="401">
        <v>47</v>
      </c>
      <c r="F79" s="276"/>
      <c r="G79" s="276"/>
      <c r="H79" s="276"/>
      <c r="J79" s="275"/>
      <c r="K79" s="275"/>
      <c r="L79" s="275"/>
      <c r="M79" s="456"/>
    </row>
    <row r="80" spans="2:18" s="410" customFormat="1" ht="20.100000000000001" customHeight="1">
      <c r="B80" s="399" t="s">
        <v>4</v>
      </c>
      <c r="C80" s="400">
        <v>1</v>
      </c>
      <c r="D80" s="400">
        <v>8</v>
      </c>
      <c r="E80" s="401">
        <v>8</v>
      </c>
      <c r="F80" s="276"/>
      <c r="G80" s="276"/>
      <c r="H80" s="276"/>
      <c r="J80" s="275"/>
      <c r="K80" s="275"/>
      <c r="L80" s="275"/>
      <c r="M80" s="456"/>
    </row>
    <row r="81" spans="2:13" s="410" customFormat="1" ht="20.100000000000001" customHeight="1">
      <c r="B81" s="406" t="s">
        <v>193</v>
      </c>
      <c r="C81" s="407">
        <v>47</v>
      </c>
      <c r="D81" s="407">
        <v>1</v>
      </c>
      <c r="E81" s="408">
        <v>47</v>
      </c>
      <c r="F81" s="409"/>
      <c r="G81" s="409"/>
      <c r="H81" s="409"/>
      <c r="J81" s="453"/>
    </row>
    <row r="82" spans="2:13" s="410" customFormat="1" ht="20.100000000000001" customHeight="1">
      <c r="B82" s="411" t="s">
        <v>194</v>
      </c>
      <c r="C82" s="412"/>
      <c r="D82" s="412"/>
      <c r="E82" s="413">
        <v>302</v>
      </c>
      <c r="F82" s="409"/>
      <c r="G82" s="409"/>
      <c r="H82" s="409"/>
      <c r="J82" s="454"/>
      <c r="K82" s="452"/>
      <c r="L82" s="455"/>
      <c r="M82" s="455"/>
    </row>
    <row r="83" spans="2:13" s="410" customFormat="1" ht="20.100000000000001" customHeight="1">
      <c r="B83" s="414" t="s">
        <v>195</v>
      </c>
      <c r="C83" s="415"/>
      <c r="D83" s="415"/>
      <c r="E83" s="408">
        <v>1778</v>
      </c>
      <c r="F83" s="409"/>
      <c r="G83" s="409"/>
      <c r="H83" s="556"/>
      <c r="I83" s="556"/>
      <c r="J83" s="556"/>
      <c r="K83" s="556"/>
      <c r="L83" s="556"/>
      <c r="M83" s="556"/>
    </row>
    <row r="84" spans="2:13" s="410" customFormat="1" ht="20.100000000000001" customHeight="1" thickBot="1">
      <c r="B84" s="416" t="s">
        <v>196</v>
      </c>
      <c r="C84" s="417"/>
      <c r="D84" s="417"/>
      <c r="E84" s="418">
        <v>1</v>
      </c>
      <c r="F84" s="409"/>
      <c r="G84" s="409"/>
      <c r="H84" s="509"/>
      <c r="I84" s="509"/>
      <c r="J84" s="509"/>
      <c r="K84" s="509"/>
      <c r="L84" s="510"/>
      <c r="M84" s="510"/>
    </row>
    <row r="85" spans="2:13" s="410" customFormat="1" ht="20.100000000000001" customHeight="1" thickBot="1">
      <c r="B85" s="419" t="s">
        <v>197</v>
      </c>
      <c r="C85" s="420"/>
      <c r="D85" s="420"/>
      <c r="E85" s="421">
        <v>1778</v>
      </c>
      <c r="F85" s="409"/>
      <c r="G85" s="409"/>
      <c r="H85" s="509"/>
      <c r="I85" s="509"/>
      <c r="J85" s="509"/>
      <c r="K85" s="510"/>
      <c r="L85" s="510"/>
      <c r="M85" s="510"/>
    </row>
    <row r="86" spans="2:13" s="410" customFormat="1" ht="20.100000000000001" customHeight="1">
      <c r="E86" s="409"/>
      <c r="F86" s="409"/>
      <c r="G86" s="409"/>
      <c r="H86" s="509"/>
      <c r="I86" s="509"/>
      <c r="J86" s="510"/>
      <c r="K86" s="510"/>
      <c r="L86" s="510"/>
      <c r="M86" s="510"/>
    </row>
    <row r="87" spans="2:13" s="410" customFormat="1" ht="20.100000000000001" customHeight="1">
      <c r="E87" s="409"/>
      <c r="F87" s="409"/>
      <c r="G87" s="409"/>
      <c r="H87" s="509"/>
      <c r="I87" s="509"/>
      <c r="J87" s="511"/>
      <c r="K87" s="512"/>
      <c r="L87" s="513"/>
      <c r="M87" s="513"/>
    </row>
    <row r="88" spans="2:13" s="410" customFormat="1" ht="20.100000000000001" customHeight="1">
      <c r="E88" s="409"/>
      <c r="F88" s="409"/>
      <c r="G88" s="409"/>
      <c r="H88" s="509"/>
      <c r="I88" s="509"/>
      <c r="J88" s="511"/>
      <c r="K88" s="512"/>
      <c r="L88" s="513"/>
      <c r="M88" s="513"/>
    </row>
    <row r="89" spans="2:13" s="410" customFormat="1" ht="20.100000000000001" customHeight="1">
      <c r="E89" s="409"/>
      <c r="F89" s="409"/>
      <c r="G89" s="409"/>
      <c r="H89" s="509"/>
      <c r="I89" s="509"/>
      <c r="J89" s="511"/>
      <c r="K89" s="512"/>
      <c r="L89" s="513"/>
      <c r="M89" s="513"/>
    </row>
    <row r="90" spans="2:13" s="410" customFormat="1" ht="20.100000000000001" customHeight="1">
      <c r="E90" s="409"/>
      <c r="F90" s="409"/>
      <c r="G90" s="409"/>
      <c r="H90" s="509"/>
      <c r="I90" s="509"/>
      <c r="J90" s="509"/>
      <c r="K90" s="512"/>
      <c r="L90" s="513"/>
      <c r="M90" s="513"/>
    </row>
    <row r="91" spans="2:13" s="410" customFormat="1" ht="20.100000000000001" customHeight="1">
      <c r="E91" s="409"/>
      <c r="F91" s="409"/>
      <c r="G91" s="409"/>
      <c r="H91" s="509"/>
      <c r="I91" s="509"/>
      <c r="J91" s="509"/>
      <c r="K91" s="509"/>
      <c r="L91" s="509"/>
      <c r="M91" s="509"/>
    </row>
    <row r="92" spans="2:13" s="410" customFormat="1" ht="20.100000000000001" customHeight="1">
      <c r="E92" s="409"/>
      <c r="F92" s="409"/>
      <c r="G92" s="409"/>
      <c r="H92" s="509"/>
      <c r="I92" s="509"/>
      <c r="J92" s="509"/>
      <c r="K92" s="509"/>
      <c r="L92" s="509"/>
      <c r="M92" s="509"/>
    </row>
    <row r="93" spans="2:13" s="410" customFormat="1" ht="20.100000000000001" customHeight="1">
      <c r="E93" s="409"/>
      <c r="F93" s="409"/>
      <c r="G93" s="409"/>
      <c r="H93" s="509"/>
      <c r="I93" s="509"/>
      <c r="J93" s="514"/>
      <c r="K93" s="515"/>
      <c r="L93" s="509"/>
      <c r="M93" s="509"/>
    </row>
    <row r="94" spans="2:13" s="410" customFormat="1" ht="20.100000000000001" customHeight="1">
      <c r="E94" s="409"/>
      <c r="F94" s="409"/>
      <c r="G94" s="409"/>
      <c r="H94" s="509"/>
      <c r="I94" s="509"/>
      <c r="J94" s="516"/>
      <c r="K94" s="517"/>
      <c r="L94" s="509"/>
      <c r="M94" s="509"/>
    </row>
    <row r="95" spans="2:13" s="410" customFormat="1" ht="20.100000000000001" customHeight="1">
      <c r="E95" s="409"/>
      <c r="F95" s="409"/>
      <c r="G95" s="409"/>
      <c r="H95" s="509"/>
      <c r="I95" s="509"/>
      <c r="J95" s="516"/>
      <c r="K95" s="517"/>
      <c r="L95" s="509"/>
      <c r="M95" s="509"/>
    </row>
    <row r="96" spans="2:13" s="410" customFormat="1" ht="20.100000000000001" customHeight="1">
      <c r="E96" s="409"/>
      <c r="F96" s="409"/>
      <c r="G96" s="409"/>
      <c r="H96" s="509"/>
      <c r="I96" s="509"/>
      <c r="J96" s="509"/>
      <c r="K96" s="509"/>
      <c r="L96" s="509"/>
      <c r="M96" s="509"/>
    </row>
    <row r="97" spans="5:13" s="410" customFormat="1" ht="20.100000000000001" customHeight="1">
      <c r="E97" s="409"/>
      <c r="F97" s="409"/>
      <c r="G97" s="409"/>
      <c r="H97" s="509"/>
      <c r="I97" s="509"/>
      <c r="J97" s="509"/>
      <c r="K97" s="509"/>
      <c r="L97" s="509"/>
      <c r="M97" s="509"/>
    </row>
    <row r="98" spans="5:13" s="410" customFormat="1" ht="20.100000000000001" customHeight="1">
      <c r="E98" s="409"/>
      <c r="F98" s="409"/>
      <c r="G98" s="409"/>
      <c r="H98" s="509"/>
      <c r="I98" s="509"/>
      <c r="J98" s="509"/>
      <c r="K98" s="509"/>
      <c r="L98" s="509"/>
      <c r="M98" s="509"/>
    </row>
    <row r="99" spans="5:13" s="410" customFormat="1" ht="20.100000000000001" customHeight="1">
      <c r="E99" s="409"/>
      <c r="F99" s="409"/>
      <c r="G99" s="409"/>
      <c r="H99" s="409"/>
    </row>
    <row r="100" spans="5:13" s="410" customFormat="1" ht="20.100000000000001" customHeight="1">
      <c r="E100" s="409"/>
      <c r="F100" s="409"/>
      <c r="G100" s="409"/>
      <c r="H100" s="409"/>
    </row>
    <row r="101" spans="5:13" s="410" customFormat="1" ht="20.100000000000001" customHeight="1">
      <c r="E101" s="409"/>
      <c r="F101" s="409"/>
      <c r="G101" s="409"/>
      <c r="H101" s="409"/>
    </row>
    <row r="102" spans="5:13" s="410" customFormat="1" ht="20.100000000000001" customHeight="1">
      <c r="E102" s="409"/>
      <c r="F102" s="409"/>
      <c r="G102" s="409"/>
      <c r="H102" s="409"/>
    </row>
    <row r="103" spans="5:13" s="410" customFormat="1" ht="20.100000000000001" customHeight="1">
      <c r="E103" s="409"/>
      <c r="F103" s="409"/>
      <c r="G103" s="409"/>
      <c r="H103" s="409"/>
    </row>
    <row r="104" spans="5:13" s="410" customFormat="1" ht="20.100000000000001" customHeight="1">
      <c r="E104" s="409"/>
      <c r="F104" s="409"/>
      <c r="G104" s="409"/>
      <c r="H104" s="409"/>
    </row>
    <row r="105" spans="5:13" s="410" customFormat="1" ht="20.100000000000001" customHeight="1">
      <c r="E105" s="409"/>
      <c r="F105" s="409"/>
      <c r="G105" s="409"/>
      <c r="H105" s="409"/>
    </row>
    <row r="106" spans="5:13" s="410" customFormat="1" ht="20.100000000000001" customHeight="1">
      <c r="E106" s="409"/>
      <c r="F106" s="409"/>
      <c r="G106" s="409"/>
      <c r="H106" s="409"/>
    </row>
    <row r="107" spans="5:13" s="410" customFormat="1" ht="20.100000000000001" customHeight="1">
      <c r="E107" s="409"/>
      <c r="F107" s="409"/>
      <c r="G107" s="409"/>
      <c r="H107" s="409"/>
    </row>
    <row r="108" spans="5:13" s="410" customFormat="1" ht="20.100000000000001" customHeight="1">
      <c r="E108" s="409"/>
      <c r="F108" s="409"/>
      <c r="G108" s="409"/>
      <c r="H108" s="409"/>
    </row>
    <row r="109" spans="5:13" s="410" customFormat="1" ht="20.100000000000001" customHeight="1">
      <c r="E109" s="409"/>
      <c r="F109" s="409"/>
      <c r="G109" s="409"/>
      <c r="H109" s="409"/>
    </row>
    <row r="110" spans="5:13" s="410" customFormat="1" ht="20.100000000000001" customHeight="1">
      <c r="E110" s="409"/>
      <c r="F110" s="409"/>
      <c r="G110" s="409"/>
      <c r="H110" s="409"/>
    </row>
    <row r="111" spans="5:13" s="410" customFormat="1" ht="20.100000000000001" customHeight="1">
      <c r="E111" s="409"/>
      <c r="F111" s="409"/>
      <c r="G111" s="409"/>
      <c r="H111" s="409"/>
    </row>
    <row r="112" spans="5:13" s="410" customFormat="1" ht="20.100000000000001" customHeight="1">
      <c r="E112" s="409"/>
      <c r="F112" s="409"/>
      <c r="G112" s="409"/>
      <c r="H112" s="409"/>
    </row>
    <row r="113" spans="5:8" s="410" customFormat="1" ht="20.100000000000001" customHeight="1">
      <c r="E113" s="409"/>
      <c r="F113" s="409"/>
      <c r="G113" s="409"/>
      <c r="H113" s="409"/>
    </row>
    <row r="114" spans="5:8" s="410" customFormat="1" ht="20.100000000000001" customHeight="1">
      <c r="E114" s="409"/>
      <c r="F114" s="409"/>
      <c r="G114" s="409"/>
      <c r="H114" s="409"/>
    </row>
    <row r="115" spans="5:8" s="410" customFormat="1" ht="20.100000000000001" customHeight="1">
      <c r="E115" s="409"/>
      <c r="F115" s="409"/>
      <c r="G115" s="409"/>
      <c r="H115" s="409"/>
    </row>
    <row r="116" spans="5:8" s="410" customFormat="1" ht="20.100000000000001" customHeight="1">
      <c r="E116" s="409"/>
      <c r="F116" s="409"/>
      <c r="G116" s="409"/>
      <c r="H116" s="409"/>
    </row>
    <row r="117" spans="5:8" s="410" customFormat="1" ht="20.100000000000001" customHeight="1">
      <c r="E117" s="409"/>
      <c r="F117" s="409"/>
      <c r="G117" s="409"/>
      <c r="H117" s="409"/>
    </row>
    <row r="118" spans="5:8" s="410" customFormat="1" ht="20.100000000000001" customHeight="1">
      <c r="E118" s="409"/>
      <c r="F118" s="409"/>
      <c r="G118" s="409"/>
      <c r="H118" s="409"/>
    </row>
    <row r="119" spans="5:8" s="410" customFormat="1" ht="20.100000000000001" customHeight="1">
      <c r="E119" s="409"/>
      <c r="F119" s="409"/>
      <c r="G119" s="409"/>
      <c r="H119" s="409"/>
    </row>
    <row r="120" spans="5:8" s="410" customFormat="1" ht="20.100000000000001" customHeight="1">
      <c r="E120" s="409"/>
      <c r="F120" s="409"/>
      <c r="G120" s="409"/>
      <c r="H120" s="409"/>
    </row>
    <row r="121" spans="5:8" s="410" customFormat="1" ht="20.100000000000001" customHeight="1">
      <c r="E121" s="409"/>
      <c r="F121" s="409"/>
      <c r="G121" s="409"/>
      <c r="H121" s="409"/>
    </row>
    <row r="122" spans="5:8" s="410" customFormat="1" ht="20.100000000000001" customHeight="1">
      <c r="E122" s="409"/>
      <c r="F122" s="409"/>
      <c r="G122" s="409"/>
      <c r="H122" s="409"/>
    </row>
    <row r="123" spans="5:8" s="410" customFormat="1" ht="20.100000000000001" customHeight="1">
      <c r="E123" s="409"/>
      <c r="F123" s="409"/>
      <c r="G123" s="409"/>
      <c r="H123" s="409"/>
    </row>
    <row r="124" spans="5:8" s="410" customFormat="1" ht="20.100000000000001" customHeight="1">
      <c r="E124" s="409"/>
      <c r="F124" s="409"/>
      <c r="G124" s="409"/>
      <c r="H124" s="409"/>
    </row>
    <row r="125" spans="5:8" s="410" customFormat="1" ht="20.100000000000001" customHeight="1">
      <c r="E125" s="409"/>
      <c r="F125" s="409"/>
      <c r="G125" s="409"/>
      <c r="H125" s="409"/>
    </row>
    <row r="126" spans="5:8" s="410" customFormat="1" ht="20.100000000000001" customHeight="1">
      <c r="E126" s="409"/>
      <c r="F126" s="409"/>
      <c r="G126" s="409"/>
      <c r="H126" s="409"/>
    </row>
    <row r="127" spans="5:8" s="410" customFormat="1" ht="20.100000000000001" customHeight="1">
      <c r="E127" s="409"/>
      <c r="F127" s="409"/>
      <c r="G127" s="409"/>
      <c r="H127" s="409"/>
    </row>
    <row r="128" spans="5:8" s="410" customFormat="1" ht="20.100000000000001" customHeight="1">
      <c r="E128" s="409"/>
      <c r="F128" s="409"/>
      <c r="G128" s="409"/>
      <c r="H128" s="409"/>
    </row>
    <row r="129" spans="5:8" s="410" customFormat="1" ht="20.100000000000001" customHeight="1">
      <c r="E129" s="409"/>
      <c r="F129" s="409"/>
      <c r="G129" s="409"/>
      <c r="H129" s="409"/>
    </row>
    <row r="130" spans="5:8" s="410" customFormat="1" ht="20.100000000000001" customHeight="1">
      <c r="E130" s="409"/>
      <c r="F130" s="409"/>
      <c r="G130" s="409"/>
      <c r="H130" s="409"/>
    </row>
    <row r="131" spans="5:8" s="410" customFormat="1" ht="20.100000000000001" customHeight="1">
      <c r="E131" s="409"/>
      <c r="F131" s="409"/>
      <c r="G131" s="409"/>
      <c r="H131" s="409"/>
    </row>
    <row r="132" spans="5:8" s="410" customFormat="1" ht="20.100000000000001" customHeight="1">
      <c r="E132" s="409"/>
      <c r="F132" s="409"/>
      <c r="G132" s="409"/>
      <c r="H132" s="409"/>
    </row>
    <row r="133" spans="5:8" s="410" customFormat="1" ht="20.100000000000001" customHeight="1">
      <c r="E133" s="409"/>
      <c r="F133" s="409"/>
      <c r="G133" s="409"/>
      <c r="H133" s="409"/>
    </row>
    <row r="134" spans="5:8" s="410" customFormat="1" ht="20.100000000000001" customHeight="1">
      <c r="E134" s="409"/>
      <c r="F134" s="409"/>
      <c r="G134" s="409"/>
      <c r="H134" s="409"/>
    </row>
    <row r="135" spans="5:8" s="410" customFormat="1" ht="20.100000000000001" customHeight="1">
      <c r="E135" s="409"/>
      <c r="F135" s="409"/>
      <c r="G135" s="409"/>
      <c r="H135" s="409"/>
    </row>
    <row r="136" spans="5:8" s="410" customFormat="1" ht="20.100000000000001" customHeight="1">
      <c r="E136" s="409"/>
      <c r="F136" s="409"/>
      <c r="G136" s="409"/>
      <c r="H136" s="409"/>
    </row>
    <row r="137" spans="5:8" s="410" customFormat="1" ht="20.100000000000001" customHeight="1">
      <c r="E137" s="409"/>
      <c r="F137" s="409"/>
      <c r="G137" s="409"/>
      <c r="H137" s="409"/>
    </row>
    <row r="138" spans="5:8" s="410" customFormat="1" ht="20.100000000000001" customHeight="1">
      <c r="E138" s="409"/>
      <c r="F138" s="409"/>
      <c r="G138" s="409"/>
      <c r="H138" s="409"/>
    </row>
    <row r="139" spans="5:8" s="410" customFormat="1" ht="20.100000000000001" customHeight="1">
      <c r="E139" s="409"/>
      <c r="F139" s="409"/>
      <c r="G139" s="409"/>
      <c r="H139" s="409"/>
    </row>
    <row r="140" spans="5:8" s="410" customFormat="1" ht="20.100000000000001" customHeight="1">
      <c r="E140" s="409"/>
      <c r="F140" s="409"/>
      <c r="G140" s="409"/>
      <c r="H140" s="409"/>
    </row>
    <row r="141" spans="5:8" s="410" customFormat="1" ht="20.100000000000001" customHeight="1">
      <c r="E141" s="409"/>
      <c r="F141" s="409"/>
      <c r="G141" s="409"/>
      <c r="H141" s="409"/>
    </row>
    <row r="142" spans="5:8" s="410" customFormat="1" ht="20.100000000000001" customHeight="1">
      <c r="E142" s="409"/>
      <c r="F142" s="409"/>
      <c r="G142" s="409"/>
      <c r="H142" s="409"/>
    </row>
    <row r="143" spans="5:8" s="410" customFormat="1" ht="20.100000000000001" customHeight="1">
      <c r="E143" s="409"/>
      <c r="F143" s="409"/>
      <c r="G143" s="409"/>
      <c r="H143" s="409"/>
    </row>
    <row r="144" spans="5:8" s="410" customFormat="1" ht="20.100000000000001" customHeight="1">
      <c r="E144" s="409"/>
      <c r="F144" s="409"/>
      <c r="G144" s="409"/>
      <c r="H144" s="409"/>
    </row>
    <row r="145" spans="2:13" s="410" customFormat="1" ht="20.100000000000001" customHeight="1">
      <c r="E145" s="409"/>
      <c r="F145" s="409"/>
      <c r="G145" s="409"/>
      <c r="H145" s="409"/>
    </row>
    <row r="146" spans="2:13" s="410" customFormat="1" ht="20.100000000000001" customHeight="1">
      <c r="E146" s="409"/>
      <c r="F146" s="409"/>
      <c r="G146" s="409"/>
      <c r="H146" s="409"/>
    </row>
    <row r="147" spans="2:13" s="410" customFormat="1" ht="20.100000000000001" customHeight="1">
      <c r="E147" s="409"/>
      <c r="F147" s="409"/>
      <c r="G147" s="409"/>
      <c r="H147" s="409"/>
    </row>
    <row r="148" spans="2:13" s="410" customFormat="1" ht="20.100000000000001" customHeight="1">
      <c r="E148" s="409"/>
      <c r="F148" s="409"/>
      <c r="G148" s="409"/>
      <c r="H148" s="409"/>
    </row>
    <row r="149" spans="2:13" s="410" customFormat="1" ht="20.100000000000001" customHeight="1">
      <c r="E149" s="409"/>
      <c r="F149" s="409"/>
      <c r="G149" s="409"/>
      <c r="H149" s="409"/>
    </row>
    <row r="150" spans="2:13" s="410" customFormat="1" ht="20.100000000000001" customHeight="1">
      <c r="E150" s="409"/>
      <c r="F150" s="409"/>
      <c r="G150" s="409"/>
      <c r="H150" s="409"/>
    </row>
    <row r="151" spans="2:13" s="410" customFormat="1" ht="20.100000000000001" customHeight="1">
      <c r="E151" s="409"/>
      <c r="F151" s="409"/>
      <c r="G151" s="409"/>
      <c r="H151" s="409"/>
    </row>
    <row r="152" spans="2:13" s="410" customFormat="1" ht="20.100000000000001" customHeight="1">
      <c r="E152" s="409"/>
      <c r="F152" s="409"/>
      <c r="G152" s="409"/>
      <c r="H152" s="409"/>
    </row>
    <row r="153" spans="2:13" s="410" customFormat="1" ht="20.100000000000001" customHeight="1">
      <c r="E153" s="409"/>
      <c r="F153" s="409"/>
      <c r="G153" s="409"/>
      <c r="H153" s="409"/>
    </row>
    <row r="154" spans="2:13" s="410" customFormat="1" ht="20.100000000000001" customHeight="1">
      <c r="E154" s="409"/>
      <c r="F154" s="409"/>
      <c r="G154" s="409"/>
      <c r="H154" s="409"/>
    </row>
    <row r="155" spans="2:13" s="410" customFormat="1" ht="20.100000000000001" customHeight="1">
      <c r="E155" s="409"/>
      <c r="F155" s="409"/>
      <c r="G155" s="409"/>
      <c r="H155" s="409"/>
    </row>
    <row r="156" spans="2:13" s="410" customFormat="1" ht="20.100000000000001" customHeight="1">
      <c r="E156" s="409"/>
      <c r="F156" s="409"/>
      <c r="G156" s="409"/>
      <c r="H156" s="409"/>
    </row>
    <row r="157" spans="2:13" s="410" customFormat="1" ht="20.100000000000001" customHeight="1">
      <c r="E157" s="409"/>
      <c r="F157" s="409"/>
      <c r="G157" s="409"/>
      <c r="H157" s="409"/>
    </row>
    <row r="158" spans="2:13" s="410" customFormat="1" ht="20.100000000000001" customHeight="1">
      <c r="E158" s="409"/>
      <c r="F158" s="409"/>
      <c r="G158" s="409"/>
      <c r="H158" s="409"/>
    </row>
    <row r="159" spans="2:13" ht="18.75">
      <c r="B159" s="410"/>
      <c r="C159" s="410"/>
      <c r="D159" s="410"/>
      <c r="E159" s="409"/>
      <c r="F159" s="409"/>
      <c r="G159" s="409"/>
      <c r="H159" s="409"/>
      <c r="J159" s="410"/>
      <c r="K159" s="410"/>
      <c r="L159" s="410"/>
      <c r="M159" s="410"/>
    </row>
    <row r="160" spans="2:13" ht="18.75">
      <c r="B160" s="410"/>
      <c r="C160" s="410"/>
      <c r="D160" s="410"/>
      <c r="E160" s="409"/>
      <c r="F160" s="409"/>
      <c r="G160" s="409"/>
      <c r="H160" s="409"/>
      <c r="J160" s="410"/>
      <c r="K160" s="410"/>
      <c r="L160" s="410"/>
      <c r="M160" s="410"/>
    </row>
    <row r="161" spans="2:13" ht="18.75">
      <c r="B161" s="410"/>
      <c r="C161" s="410"/>
      <c r="D161" s="410"/>
      <c r="E161" s="409"/>
      <c r="F161" s="409"/>
      <c r="G161" s="409"/>
      <c r="H161" s="409"/>
      <c r="J161" s="410"/>
      <c r="K161" s="410"/>
      <c r="L161" s="410"/>
      <c r="M161" s="410"/>
    </row>
  </sheetData>
  <mergeCells count="19">
    <mergeCell ref="B12:C12"/>
    <mergeCell ref="B3:H3"/>
    <mergeCell ref="J3:M3"/>
    <mergeCell ref="B4:C4"/>
    <mergeCell ref="D4:H4"/>
    <mergeCell ref="B8:C8"/>
    <mergeCell ref="H83:M83"/>
    <mergeCell ref="B66:C66"/>
    <mergeCell ref="B28:H28"/>
    <mergeCell ref="J28:M28"/>
    <mergeCell ref="B29:C29"/>
    <mergeCell ref="D29:H29"/>
    <mergeCell ref="B33:C33"/>
    <mergeCell ref="B37:C37"/>
    <mergeCell ref="B53:H53"/>
    <mergeCell ref="J53:M53"/>
    <mergeCell ref="B54:C54"/>
    <mergeCell ref="D54:H54"/>
    <mergeCell ref="B60:C60"/>
  </mergeCells>
  <pageMargins left="0.2" right="0.2" top="0.25" bottom="0.25" header="0.3" footer="0.3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zoomScale="85" zoomScaleNormal="85" workbookViewId="0">
      <selection activeCell="L32" sqref="L32"/>
    </sheetView>
  </sheetViews>
  <sheetFormatPr defaultRowHeight="15"/>
  <cols>
    <col min="1" max="1" width="21.140625" bestFit="1" customWidth="1"/>
    <col min="2" max="2" width="12.5703125" bestFit="1" customWidth="1"/>
    <col min="3" max="3" width="17.5703125" customWidth="1"/>
    <col min="4" max="4" width="11.5703125" bestFit="1" customWidth="1"/>
    <col min="5" max="5" width="19.140625" customWidth="1"/>
    <col min="6" max="6" width="18" customWidth="1"/>
    <col min="7" max="7" width="14" customWidth="1"/>
    <col min="8" max="8" width="23.28515625" customWidth="1"/>
  </cols>
  <sheetData>
    <row r="2" spans="1:8">
      <c r="A2" t="s">
        <v>95</v>
      </c>
      <c r="B2" s="1">
        <v>2.9</v>
      </c>
      <c r="C2" t="s">
        <v>96</v>
      </c>
    </row>
    <row r="3" spans="1:8">
      <c r="A3" t="s">
        <v>97</v>
      </c>
      <c r="B3" s="3">
        <v>30000</v>
      </c>
    </row>
    <row r="4" spans="1:8">
      <c r="A4" t="s">
        <v>98</v>
      </c>
      <c r="B4">
        <v>4</v>
      </c>
    </row>
    <row r="5" spans="1:8">
      <c r="A5" t="s">
        <v>99</v>
      </c>
      <c r="B5" s="204">
        <v>0.08</v>
      </c>
    </row>
    <row r="6" spans="1:8">
      <c r="A6" t="s">
        <v>100</v>
      </c>
      <c r="B6" s="204">
        <v>0.5</v>
      </c>
    </row>
    <row r="8" spans="1:8">
      <c r="A8" s="577" t="s">
        <v>101</v>
      </c>
      <c r="B8" s="578"/>
      <c r="C8" s="205" t="s">
        <v>102</v>
      </c>
    </row>
    <row r="9" spans="1:8">
      <c r="A9" s="206" t="s">
        <v>103</v>
      </c>
      <c r="B9" s="207">
        <v>0</v>
      </c>
      <c r="C9" s="208">
        <f>B9*H21</f>
        <v>0</v>
      </c>
    </row>
    <row r="10" spans="1:8">
      <c r="A10" s="209" t="s">
        <v>104</v>
      </c>
      <c r="B10" s="207">
        <v>1</v>
      </c>
      <c r="C10" s="208">
        <f>B10*H28</f>
        <v>18650.260787671232</v>
      </c>
    </row>
    <row r="11" spans="1:8">
      <c r="A11" s="209" t="s">
        <v>105</v>
      </c>
      <c r="B11" s="207">
        <v>2</v>
      </c>
      <c r="C11" s="208">
        <f>B11*H35</f>
        <v>45110.306632653061</v>
      </c>
    </row>
    <row r="12" spans="1:8">
      <c r="A12" s="209" t="s">
        <v>106</v>
      </c>
      <c r="B12" s="207">
        <v>0.25</v>
      </c>
      <c r="C12" s="208">
        <f>B12*H37</f>
        <v>7137.5</v>
      </c>
    </row>
    <row r="13" spans="1:8">
      <c r="A13" s="205" t="s">
        <v>107</v>
      </c>
      <c r="B13" s="210">
        <f>SUM(B9:B12)</f>
        <v>3.25</v>
      </c>
      <c r="C13" s="211">
        <f>SUM(C9:C12)</f>
        <v>70898.067420324296</v>
      </c>
    </row>
    <row r="14" spans="1:8">
      <c r="A14" s="579" t="s">
        <v>108</v>
      </c>
      <c r="B14" s="580"/>
      <c r="C14" s="212">
        <f>(C13/5000)*B6</f>
        <v>7.0898067420324296</v>
      </c>
    </row>
    <row r="16" spans="1:8" s="214" customFormat="1">
      <c r="A16" s="213" t="s">
        <v>109</v>
      </c>
      <c r="B16" s="213" t="s">
        <v>110</v>
      </c>
      <c r="C16" s="213" t="s">
        <v>111</v>
      </c>
      <c r="D16" s="213" t="s">
        <v>112</v>
      </c>
      <c r="E16" s="213" t="s">
        <v>113</v>
      </c>
      <c r="F16" s="213" t="s">
        <v>114</v>
      </c>
      <c r="G16" s="213" t="s">
        <v>115</v>
      </c>
      <c r="H16" s="213" t="s">
        <v>116</v>
      </c>
    </row>
    <row r="17" spans="1:8">
      <c r="A17" s="215" t="s">
        <v>117</v>
      </c>
      <c r="B17" s="216">
        <v>18840</v>
      </c>
      <c r="C17" s="215">
        <v>32</v>
      </c>
      <c r="D17" s="216">
        <f>(B17*$B$5)</f>
        <v>1507.2</v>
      </c>
      <c r="E17" s="217">
        <f>B17/$B$4</f>
        <v>4710</v>
      </c>
      <c r="F17" s="217">
        <f>($B$3/C17)*$B$2</f>
        <v>2718.75</v>
      </c>
      <c r="G17" s="218">
        <v>4000</v>
      </c>
      <c r="H17" s="217">
        <f>G17+F17+E17+D17</f>
        <v>12935.95</v>
      </c>
    </row>
    <row r="18" spans="1:8">
      <c r="A18" s="215" t="s">
        <v>118</v>
      </c>
      <c r="B18" s="216">
        <v>18600</v>
      </c>
      <c r="C18" s="215">
        <v>30</v>
      </c>
      <c r="D18" s="216">
        <f>(B18*$B$5)</f>
        <v>1488</v>
      </c>
      <c r="E18" s="217">
        <f>B18/$B$4</f>
        <v>4650</v>
      </c>
      <c r="F18" s="217">
        <f>($B$3/C18)*$B$2</f>
        <v>2900</v>
      </c>
      <c r="G18" s="218">
        <v>4000</v>
      </c>
      <c r="H18" s="217">
        <f>G18+F18+E18+D18</f>
        <v>13038</v>
      </c>
    </row>
    <row r="19" spans="1:8">
      <c r="A19" s="215" t="s">
        <v>119</v>
      </c>
      <c r="B19" s="216">
        <v>23260</v>
      </c>
      <c r="C19" s="215">
        <v>27</v>
      </c>
      <c r="D19" s="216">
        <f>(B19*$B$5)</f>
        <v>1860.8</v>
      </c>
      <c r="E19" s="217">
        <f>B19/$B$4</f>
        <v>5815</v>
      </c>
      <c r="F19" s="217">
        <f>($B$3/C19)*$B$2</f>
        <v>3222.2222222222222</v>
      </c>
      <c r="G19" s="218">
        <v>4000</v>
      </c>
      <c r="H19" s="217">
        <f>G19+F19+E19+D19</f>
        <v>14898.022222222222</v>
      </c>
    </row>
    <row r="20" spans="1:8">
      <c r="A20" s="215" t="s">
        <v>120</v>
      </c>
      <c r="B20" s="216">
        <v>16975</v>
      </c>
      <c r="C20" s="215">
        <v>31</v>
      </c>
      <c r="D20" s="216">
        <f>(B20*$B$5)</f>
        <v>1358</v>
      </c>
      <c r="E20" s="217">
        <f>B20/$B$4</f>
        <v>4243.75</v>
      </c>
      <c r="F20" s="217">
        <f>($B$3/C20)*$B$2</f>
        <v>2806.4516129032259</v>
      </c>
      <c r="G20" s="218">
        <v>4000</v>
      </c>
      <c r="H20" s="217">
        <f>G20+F20+E20+D20</f>
        <v>12408.201612903225</v>
      </c>
    </row>
    <row r="21" spans="1:8" s="214" customFormat="1">
      <c r="A21" s="213" t="s">
        <v>121</v>
      </c>
      <c r="B21" s="219">
        <f>AVERAGE(B17:B20)</f>
        <v>19418.75</v>
      </c>
      <c r="C21" s="220">
        <f>AVERAGE(C17:C20)</f>
        <v>30</v>
      </c>
      <c r="D21" s="219">
        <f>(B21*$B$5)</f>
        <v>1553.5</v>
      </c>
      <c r="E21" s="221">
        <f>B21/$B$4</f>
        <v>4854.6875</v>
      </c>
      <c r="F21" s="221">
        <f>($B$3/C21)*$B$2</f>
        <v>2900</v>
      </c>
      <c r="G21" s="222">
        <v>4000</v>
      </c>
      <c r="H21" s="221">
        <f>G21+F21+E21+D21</f>
        <v>13308.1875</v>
      </c>
    </row>
    <row r="22" spans="1:8">
      <c r="G22" s="1"/>
    </row>
    <row r="23" spans="1:8" s="214" customFormat="1">
      <c r="A23" s="214" t="s">
        <v>122</v>
      </c>
      <c r="B23" s="214" t="s">
        <v>110</v>
      </c>
      <c r="C23" s="214" t="s">
        <v>111</v>
      </c>
      <c r="D23" s="214" t="s">
        <v>112</v>
      </c>
      <c r="E23" s="214" t="s">
        <v>113</v>
      </c>
      <c r="F23" s="214" t="s">
        <v>114</v>
      </c>
      <c r="G23" s="214" t="s">
        <v>115</v>
      </c>
      <c r="H23" s="214" t="s">
        <v>116</v>
      </c>
    </row>
    <row r="24" spans="1:8">
      <c r="A24" t="s">
        <v>123</v>
      </c>
      <c r="B24" s="223">
        <v>30750</v>
      </c>
      <c r="C24">
        <v>19</v>
      </c>
      <c r="D24" s="223">
        <f>(B24*$B$5)</f>
        <v>2460</v>
      </c>
      <c r="E24" s="2">
        <f>B24/$B$4</f>
        <v>7687.5</v>
      </c>
      <c r="F24" s="2">
        <f>($B$3/C24)*$B$2</f>
        <v>4578.9473684210525</v>
      </c>
      <c r="G24" s="1">
        <v>4500</v>
      </c>
      <c r="H24" s="2">
        <f>G24+F24+E24+D24</f>
        <v>19226.447368421053</v>
      </c>
    </row>
    <row r="25" spans="1:8">
      <c r="A25" t="s">
        <v>124</v>
      </c>
      <c r="B25" s="223">
        <v>29990</v>
      </c>
      <c r="C25">
        <v>19</v>
      </c>
      <c r="D25" s="223">
        <f>(B25*$B$5)</f>
        <v>2399.2000000000003</v>
      </c>
      <c r="E25" s="2">
        <f>B25/$B$4</f>
        <v>7497.5</v>
      </c>
      <c r="F25" s="2">
        <f>($B$3/C25)*$B$2</f>
        <v>4578.9473684210525</v>
      </c>
      <c r="G25" s="1">
        <v>4500</v>
      </c>
      <c r="H25" s="2">
        <f>G25+F25+E25+D25</f>
        <v>18975.647368421054</v>
      </c>
    </row>
    <row r="26" spans="1:8">
      <c r="A26" t="s">
        <v>125</v>
      </c>
      <c r="B26" s="223">
        <v>25995</v>
      </c>
      <c r="C26">
        <v>17</v>
      </c>
      <c r="D26" s="223">
        <f>(B26*$B$5)</f>
        <v>2079.6</v>
      </c>
      <c r="E26" s="2">
        <f>B26/$B$4</f>
        <v>6498.75</v>
      </c>
      <c r="F26" s="2">
        <f>($B$3/C26)*$B$2</f>
        <v>5117.6470588235297</v>
      </c>
      <c r="G26" s="1">
        <v>4500</v>
      </c>
      <c r="H26" s="2">
        <f>G26+F26+E26+D26</f>
        <v>18195.99705882353</v>
      </c>
    </row>
    <row r="27" spans="1:8">
      <c r="A27" t="s">
        <v>126</v>
      </c>
      <c r="B27" s="223">
        <v>27000</v>
      </c>
      <c r="C27">
        <v>18</v>
      </c>
      <c r="D27" s="223">
        <f>(B27*$B$5)</f>
        <v>2160</v>
      </c>
      <c r="E27" s="2">
        <f>B27/$B$4</f>
        <v>6750</v>
      </c>
      <c r="F27" s="2">
        <f>($B$3/C27)*$B$2</f>
        <v>4833.333333333333</v>
      </c>
      <c r="G27" s="1">
        <v>4500</v>
      </c>
      <c r="H27" s="2">
        <f>G27+F27+E27+D27</f>
        <v>18243.333333333332</v>
      </c>
    </row>
    <row r="28" spans="1:8" s="214" customFormat="1">
      <c r="A28" s="214" t="s">
        <v>121</v>
      </c>
      <c r="B28" s="224">
        <f>AVERAGE(B24:B27)</f>
        <v>28433.75</v>
      </c>
      <c r="C28" s="214">
        <f>AVERAGE(C24:C27)</f>
        <v>18.25</v>
      </c>
      <c r="D28" s="224">
        <f>(B28*$B$5)</f>
        <v>2274.7000000000003</v>
      </c>
      <c r="E28" s="225">
        <f>B28/$B$4</f>
        <v>7108.4375</v>
      </c>
      <c r="F28" s="225">
        <f>($B$3/C28)*$B$2</f>
        <v>4767.123287671232</v>
      </c>
      <c r="G28" s="226">
        <v>4500</v>
      </c>
      <c r="H28" s="225">
        <f>G28+F28+E28+D28</f>
        <v>18650.260787671232</v>
      </c>
    </row>
    <row r="29" spans="1:8">
      <c r="D29" s="223"/>
      <c r="G29" s="1"/>
    </row>
    <row r="30" spans="1:8" s="214" customFormat="1">
      <c r="A30" s="214" t="s">
        <v>127</v>
      </c>
      <c r="B30" s="214" t="s">
        <v>110</v>
      </c>
      <c r="C30" s="214" t="s">
        <v>111</v>
      </c>
      <c r="D30" s="214" t="s">
        <v>112</v>
      </c>
      <c r="E30" s="214" t="s">
        <v>113</v>
      </c>
      <c r="F30" s="214" t="s">
        <v>114</v>
      </c>
      <c r="G30" s="214" t="s">
        <v>115</v>
      </c>
      <c r="H30" s="214" t="s">
        <v>116</v>
      </c>
    </row>
    <row r="31" spans="1:8">
      <c r="A31" t="s">
        <v>128</v>
      </c>
      <c r="B31" s="223">
        <v>31295</v>
      </c>
      <c r="C31">
        <v>11</v>
      </c>
      <c r="D31" s="223">
        <f>(B31*$B$5)</f>
        <v>2503.6</v>
      </c>
      <c r="E31" s="2">
        <f>B31/$B$4</f>
        <v>7823.75</v>
      </c>
      <c r="F31" s="2">
        <f>($B$3/C31)*$B$2</f>
        <v>7909.090909090909</v>
      </c>
      <c r="G31" s="1">
        <v>4500</v>
      </c>
      <c r="H31" s="2">
        <f>G31+F31+E31+D31</f>
        <v>22736.440909090907</v>
      </c>
    </row>
    <row r="32" spans="1:8">
      <c r="A32" t="s">
        <v>129</v>
      </c>
      <c r="B32" s="223">
        <v>35005</v>
      </c>
      <c r="C32">
        <v>15</v>
      </c>
      <c r="D32" s="223">
        <f>(B32*$B$5)</f>
        <v>2800.4</v>
      </c>
      <c r="E32" s="2">
        <f>B32/$B$4</f>
        <v>8751.25</v>
      </c>
      <c r="F32" s="2">
        <f>($B$3/C32)*$B$2</f>
        <v>5800</v>
      </c>
      <c r="G32" s="1">
        <v>4500</v>
      </c>
      <c r="H32" s="2">
        <f>G32+F32+E32+D32</f>
        <v>21851.65</v>
      </c>
    </row>
    <row r="33" spans="1:8">
      <c r="A33" t="s">
        <v>130</v>
      </c>
      <c r="B33" s="223">
        <v>35170</v>
      </c>
      <c r="C33">
        <v>12</v>
      </c>
      <c r="D33" s="223">
        <f>(B33*$B$5)</f>
        <v>2813.6</v>
      </c>
      <c r="E33" s="2">
        <f>B33/$B$4</f>
        <v>8792.5</v>
      </c>
      <c r="F33" s="2">
        <f>($B$3/C33)*$B$2</f>
        <v>7250</v>
      </c>
      <c r="G33" s="1">
        <v>4500</v>
      </c>
      <c r="H33" s="2">
        <f>G33+F33+E33+D33</f>
        <v>23356.1</v>
      </c>
    </row>
    <row r="34" spans="1:8">
      <c r="A34" t="s">
        <v>131</v>
      </c>
      <c r="B34" s="223">
        <v>31295</v>
      </c>
      <c r="C34">
        <v>11</v>
      </c>
      <c r="D34" s="223">
        <f>(B34*$B$5)</f>
        <v>2503.6</v>
      </c>
      <c r="E34" s="2">
        <f>B34/$B$4</f>
        <v>7823.75</v>
      </c>
      <c r="F34" s="2">
        <f>($B$3/C34)*$B$2</f>
        <v>7909.090909090909</v>
      </c>
      <c r="G34" s="1">
        <v>4500</v>
      </c>
      <c r="H34" s="2">
        <f>G34+F34+E34+D34</f>
        <v>22736.440909090907</v>
      </c>
    </row>
    <row r="35" spans="1:8" s="214" customFormat="1">
      <c r="A35" s="214" t="s">
        <v>121</v>
      </c>
      <c r="B35" s="224">
        <f>AVERAGE(B31:B34)</f>
        <v>33191.25</v>
      </c>
      <c r="C35" s="214">
        <f>AVERAGE(C31:C34)</f>
        <v>12.25</v>
      </c>
      <c r="D35" s="224">
        <f>(B35*$B$5)</f>
        <v>2655.3</v>
      </c>
      <c r="E35" s="225">
        <f>B35/$B$4</f>
        <v>8297.8125</v>
      </c>
      <c r="F35" s="225">
        <f>($B$3/C35)*$B$2</f>
        <v>7102.0408163265301</v>
      </c>
      <c r="G35" s="226">
        <v>4500</v>
      </c>
      <c r="H35" s="225">
        <f>G35+F35+E35+D35</f>
        <v>22555.15331632653</v>
      </c>
    </row>
    <row r="36" spans="1:8">
      <c r="G36" s="1"/>
    </row>
    <row r="37" spans="1:8" s="214" customFormat="1">
      <c r="A37" s="214" t="s">
        <v>132</v>
      </c>
      <c r="B37" s="224">
        <v>45000</v>
      </c>
      <c r="C37" s="214">
        <v>10</v>
      </c>
      <c r="D37" s="224">
        <f>(B37*$B$5)</f>
        <v>3600</v>
      </c>
      <c r="E37" s="225">
        <f>B37/$B$4</f>
        <v>11250</v>
      </c>
      <c r="F37" s="225">
        <f>($B$3/C37)*$B$2</f>
        <v>8700</v>
      </c>
      <c r="G37" s="226">
        <v>5000</v>
      </c>
      <c r="H37" s="225">
        <f>G37+F37+E37+D37</f>
        <v>28550</v>
      </c>
    </row>
  </sheetData>
  <mergeCells count="2">
    <mergeCell ref="A8:B8"/>
    <mergeCell ref="A14:B14"/>
  </mergeCells>
  <pageMargins left="0.7" right="0.7" top="0.75" bottom="0.75" header="0.3" footer="0.3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69"/>
  <sheetViews>
    <sheetView zoomScale="60" zoomScaleNormal="60" workbookViewId="0">
      <selection activeCell="Y38" sqref="Y38"/>
    </sheetView>
  </sheetViews>
  <sheetFormatPr defaultColWidth="9.140625" defaultRowHeight="15"/>
  <cols>
    <col min="1" max="1" width="2.28515625" style="4" customWidth="1"/>
    <col min="2" max="2" width="35.85546875" style="13" customWidth="1"/>
    <col min="3" max="3" width="12.42578125" style="13" customWidth="1"/>
    <col min="4" max="4" width="10.7109375" style="13" customWidth="1"/>
    <col min="5" max="5" width="12.42578125" style="16" customWidth="1"/>
    <col min="6" max="6" width="12.28515625" style="4" customWidth="1"/>
    <col min="7" max="7" width="11.140625" style="9" customWidth="1"/>
    <col min="8" max="8" width="11.85546875" style="4" customWidth="1"/>
    <col min="9" max="9" width="2.28515625" style="4" customWidth="1"/>
    <col min="10" max="10" width="26.7109375" style="4" customWidth="1"/>
    <col min="11" max="11" width="11" style="4" customWidth="1"/>
    <col min="12" max="12" width="10.140625" style="4" customWidth="1"/>
    <col min="13" max="13" width="12.42578125" style="4" customWidth="1"/>
    <col min="14" max="14" width="2.85546875" style="4" customWidth="1"/>
    <col min="15" max="15" width="26.140625" style="4" customWidth="1"/>
    <col min="16" max="18" width="12.7109375" style="4" customWidth="1"/>
    <col min="19" max="19" width="2.28515625" style="4" customWidth="1"/>
    <col min="20" max="20" width="22.7109375" style="4" customWidth="1"/>
    <col min="21" max="23" width="12.7109375" style="4" customWidth="1"/>
    <col min="24" max="24" width="2.28515625" style="4" customWidth="1"/>
    <col min="25" max="25" width="26.140625" style="8" customWidth="1"/>
    <col min="26" max="26" width="14.85546875" style="9" customWidth="1"/>
    <col min="27" max="27" width="9.42578125" style="10" customWidth="1"/>
    <col min="28" max="28" width="11.5703125" style="9" customWidth="1"/>
    <col min="29" max="29" width="2.42578125" style="11" customWidth="1"/>
    <col min="30" max="30" width="22.7109375" style="8" customWidth="1"/>
    <col min="31" max="31" width="7.85546875" style="12" customWidth="1"/>
    <col min="32" max="32" width="11.28515625" style="9" customWidth="1"/>
    <col min="33" max="33" width="9.7109375" style="10" customWidth="1"/>
    <col min="34" max="34" width="12.140625" style="9" customWidth="1"/>
    <col min="35" max="35" width="3.42578125" style="11" customWidth="1"/>
    <col min="36" max="36" width="22.42578125" style="8" customWidth="1"/>
    <col min="37" max="37" width="12.5703125" style="12" customWidth="1"/>
    <col min="38" max="38" width="11.5703125" style="9" customWidth="1"/>
    <col min="39" max="39" width="11.5703125" style="10" customWidth="1"/>
    <col min="40" max="40" width="14.85546875" style="9" customWidth="1"/>
    <col min="41" max="41" width="3" style="13" customWidth="1"/>
    <col min="42" max="49" width="9.140625" style="14"/>
    <col min="50" max="50" width="11.5703125" style="5" customWidth="1"/>
    <col min="51" max="51" width="10.7109375" style="5" customWidth="1"/>
    <col min="52" max="52" width="9.42578125" style="63" customWidth="1"/>
    <col min="53" max="55" width="9.140625" style="5"/>
    <col min="56" max="16384" width="9.140625" style="4"/>
  </cols>
  <sheetData>
    <row r="1" spans="1:55" ht="21.75" customHeight="1">
      <c r="B1" s="5" t="s">
        <v>14</v>
      </c>
      <c r="C1" s="4"/>
      <c r="D1" s="4"/>
      <c r="E1" s="4"/>
      <c r="F1" s="6"/>
      <c r="G1" s="4"/>
      <c r="H1" s="7"/>
      <c r="AX1" s="9"/>
      <c r="AY1" s="4"/>
      <c r="AZ1" s="4"/>
      <c r="BA1" s="4"/>
    </row>
    <row r="2" spans="1:55" ht="16.5" customHeight="1" thickBot="1">
      <c r="B2" s="4"/>
      <c r="C2" s="4"/>
      <c r="D2" s="4"/>
      <c r="E2" s="4"/>
      <c r="F2" s="6"/>
      <c r="G2" s="4"/>
      <c r="H2" s="8"/>
      <c r="J2" s="15"/>
      <c r="AJ2" s="13"/>
      <c r="AK2" s="13"/>
      <c r="AL2" s="13"/>
      <c r="AM2" s="16"/>
      <c r="AN2" s="4"/>
      <c r="AO2" s="4"/>
      <c r="AX2" s="9"/>
      <c r="AY2" s="4"/>
      <c r="AZ2" s="4"/>
      <c r="BA2" s="4"/>
      <c r="BB2" s="4"/>
      <c r="BC2" s="4"/>
    </row>
    <row r="3" spans="1:55" ht="18" customHeight="1" thickBot="1">
      <c r="B3" s="581" t="s">
        <v>15</v>
      </c>
      <c r="C3" s="582"/>
      <c r="D3" s="583"/>
      <c r="E3" s="587" t="s">
        <v>16</v>
      </c>
      <c r="F3" s="6"/>
      <c r="G3" s="4"/>
      <c r="H3" s="8"/>
      <c r="J3" s="531" t="s">
        <v>17</v>
      </c>
      <c r="K3" s="532"/>
      <c r="L3" s="532"/>
      <c r="M3" s="533"/>
      <c r="O3" s="531" t="s">
        <v>18</v>
      </c>
      <c r="P3" s="532"/>
      <c r="Q3" s="532"/>
      <c r="R3" s="533"/>
      <c r="T3" s="531" t="s">
        <v>68</v>
      </c>
      <c r="U3" s="532" t="s">
        <v>69</v>
      </c>
      <c r="V3" s="532"/>
      <c r="W3" s="533"/>
      <c r="AC3" s="17"/>
      <c r="AI3" s="9"/>
      <c r="AJ3" s="14"/>
      <c r="AK3" s="14"/>
      <c r="AL3" s="14"/>
      <c r="AM3" s="14"/>
      <c r="AN3" s="14"/>
      <c r="AO3" s="14"/>
      <c r="AR3" s="9"/>
      <c r="AS3" s="5"/>
      <c r="AT3" s="5"/>
      <c r="AU3" s="5"/>
      <c r="AV3" s="4"/>
      <c r="AW3" s="4"/>
      <c r="AX3" s="4"/>
      <c r="AY3" s="4"/>
      <c r="AZ3" s="4"/>
      <c r="BA3" s="4"/>
      <c r="BB3" s="4"/>
      <c r="BC3" s="4"/>
    </row>
    <row r="4" spans="1:55" ht="18" customHeight="1" thickBot="1">
      <c r="B4" s="584"/>
      <c r="C4" s="585"/>
      <c r="D4" s="586"/>
      <c r="E4" s="588"/>
      <c r="F4" s="6"/>
      <c r="G4" s="4"/>
      <c r="H4" s="8"/>
      <c r="J4" s="19" t="s">
        <v>19</v>
      </c>
      <c r="K4" s="20"/>
      <c r="L4" s="21" t="s">
        <v>20</v>
      </c>
      <c r="M4" s="22">
        <f>$G$27</f>
        <v>5000</v>
      </c>
      <c r="O4" s="19" t="s">
        <v>19</v>
      </c>
      <c r="P4" s="20"/>
      <c r="Q4" s="21" t="s">
        <v>20</v>
      </c>
      <c r="R4" s="22">
        <f>$G$27</f>
        <v>5000</v>
      </c>
      <c r="T4" s="19" t="s">
        <v>19</v>
      </c>
      <c r="U4" s="20"/>
      <c r="V4" s="21" t="s">
        <v>20</v>
      </c>
      <c r="W4" s="22">
        <f>$G$27</f>
        <v>5000</v>
      </c>
      <c r="AC4" s="23"/>
      <c r="AI4" s="9"/>
      <c r="AJ4" s="14"/>
      <c r="AK4" s="14"/>
      <c r="AL4" s="14"/>
      <c r="AM4" s="14"/>
      <c r="AN4" s="14"/>
      <c r="AO4" s="14"/>
      <c r="AR4" s="9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</row>
    <row r="5" spans="1:55" s="5" customFormat="1" ht="12.75" customHeight="1">
      <c r="B5" s="537" t="s">
        <v>21</v>
      </c>
      <c r="C5" s="540" t="s">
        <v>22</v>
      </c>
      <c r="D5" s="24" t="s">
        <v>23</v>
      </c>
      <c r="E5" s="589" t="s">
        <v>24</v>
      </c>
      <c r="F5" s="24" t="s">
        <v>25</v>
      </c>
      <c r="G5" s="537" t="s">
        <v>26</v>
      </c>
      <c r="H5" s="8"/>
      <c r="J5" s="26"/>
      <c r="K5" s="27" t="s">
        <v>27</v>
      </c>
      <c r="L5" s="28" t="s">
        <v>28</v>
      </c>
      <c r="M5" s="29" t="s">
        <v>29</v>
      </c>
      <c r="N5" s="4"/>
      <c r="O5" s="26"/>
      <c r="P5" s="27" t="s">
        <v>27</v>
      </c>
      <c r="Q5" s="28" t="s">
        <v>28</v>
      </c>
      <c r="R5" s="29" t="s">
        <v>29</v>
      </c>
      <c r="S5" s="4"/>
      <c r="T5" s="26"/>
      <c r="U5" s="27" t="s">
        <v>27</v>
      </c>
      <c r="V5" s="28" t="s">
        <v>28</v>
      </c>
      <c r="W5" s="29" t="s">
        <v>29</v>
      </c>
      <c r="AC5" s="11"/>
      <c r="AI5" s="9"/>
      <c r="AR5" s="9"/>
    </row>
    <row r="6" spans="1:55" ht="18.75" customHeight="1">
      <c r="B6" s="538"/>
      <c r="C6" s="541"/>
      <c r="D6" s="31" t="s">
        <v>30</v>
      </c>
      <c r="E6" s="590"/>
      <c r="F6" s="592" t="s">
        <v>31</v>
      </c>
      <c r="G6" s="538"/>
      <c r="H6" s="8"/>
      <c r="J6" s="32" t="str">
        <f t="shared" ref="J6:K8" si="0">B17</f>
        <v>Management</v>
      </c>
      <c r="K6" s="33">
        <f t="shared" si="0"/>
        <v>56409.608617450482</v>
      </c>
      <c r="L6" s="34">
        <f>C21</f>
        <v>1.65</v>
      </c>
      <c r="M6" s="35">
        <f>K6*L6</f>
        <v>93075.854218793291</v>
      </c>
      <c r="O6" s="32" t="s">
        <v>32</v>
      </c>
      <c r="P6" s="33">
        <f>C17</f>
        <v>56409.608617450482</v>
      </c>
      <c r="Q6" s="34">
        <f>D21</f>
        <v>1</v>
      </c>
      <c r="R6" s="35">
        <f>P6*Q6</f>
        <v>56409.608617450482</v>
      </c>
      <c r="T6" s="32" t="s">
        <v>32</v>
      </c>
      <c r="U6" s="33">
        <f>[2]Salaries!AJ87</f>
        <v>56660.828649540119</v>
      </c>
      <c r="V6" s="34">
        <f>E21</f>
        <v>0.8</v>
      </c>
      <c r="W6" s="35">
        <f>U6*V6</f>
        <v>45328.662919632101</v>
      </c>
      <c r="AC6" s="36"/>
      <c r="AI6" s="37"/>
      <c r="AJ6" s="14"/>
      <c r="AK6" s="14"/>
      <c r="AL6" s="14"/>
      <c r="AM6" s="14"/>
      <c r="AN6" s="14"/>
      <c r="AO6" s="14"/>
      <c r="AR6" s="9"/>
      <c r="AS6" s="9"/>
      <c r="AT6" s="9"/>
      <c r="AU6" s="9"/>
      <c r="AV6" s="4"/>
      <c r="AW6" s="4"/>
      <c r="AX6" s="4"/>
      <c r="AY6" s="4"/>
      <c r="AZ6" s="4"/>
      <c r="BA6" s="4"/>
      <c r="BB6" s="4"/>
      <c r="BC6" s="4"/>
    </row>
    <row r="7" spans="1:55" s="5" customFormat="1" ht="18" customHeight="1" thickBot="1">
      <c r="B7" s="539"/>
      <c r="C7" s="542"/>
      <c r="D7" s="38">
        <f>'[3]Fall 2016 CAF'!BJ25</f>
        <v>2.5063915266617946E-2</v>
      </c>
      <c r="E7" s="591"/>
      <c r="F7" s="593"/>
      <c r="G7" s="539"/>
      <c r="H7" s="8"/>
      <c r="J7" s="32" t="str">
        <f t="shared" si="0"/>
        <v>Direct Care</v>
      </c>
      <c r="K7" s="33">
        <f t="shared" si="0"/>
        <v>31321.164534565924</v>
      </c>
      <c r="L7" s="34">
        <f>C22</f>
        <v>21.63</v>
      </c>
      <c r="M7" s="35">
        <f>K7*L7</f>
        <v>677476.78888266091</v>
      </c>
      <c r="N7" s="4"/>
      <c r="O7" s="32" t="s">
        <v>33</v>
      </c>
      <c r="P7" s="33">
        <f>C18</f>
        <v>31321.164534565924</v>
      </c>
      <c r="Q7" s="34">
        <f>D22</f>
        <v>10.8</v>
      </c>
      <c r="R7" s="35">
        <f>P7*Q7</f>
        <v>338268.57697331201</v>
      </c>
      <c r="S7" s="4"/>
      <c r="T7" s="150" t="s">
        <v>33</v>
      </c>
      <c r="U7" s="33">
        <f>C18</f>
        <v>31321.164534565924</v>
      </c>
      <c r="V7" s="34">
        <f>E22</f>
        <v>6.64</v>
      </c>
      <c r="W7" s="35">
        <f>U7*V7</f>
        <v>207972.53250951771</v>
      </c>
      <c r="AC7" s="11"/>
      <c r="AI7" s="11"/>
      <c r="AR7" s="9"/>
      <c r="AS7" s="39"/>
      <c r="AT7" s="39"/>
      <c r="AU7" s="39"/>
    </row>
    <row r="8" spans="1:55" s="9" customFormat="1">
      <c r="B8" s="227" t="s">
        <v>34</v>
      </c>
      <c r="C8" s="41">
        <v>10.432560727200437</v>
      </c>
      <c r="D8" s="41">
        <f t="shared" ref="D8:D13" si="1">C8*(1+$D$7)</f>
        <v>10.694041545280834</v>
      </c>
      <c r="E8" s="228">
        <f>M31</f>
        <v>10.717330177820287</v>
      </c>
      <c r="F8" s="229">
        <f t="shared" ref="F8:F13" si="2">E8-C8</f>
        <v>0.28476945061984971</v>
      </c>
      <c r="G8" s="230">
        <f t="shared" ref="G8:G13" si="3">F8/C8</f>
        <v>2.7296217876535397E-2</v>
      </c>
      <c r="H8" s="8"/>
      <c r="J8" s="32" t="str">
        <f t="shared" si="0"/>
        <v>Clerical Support</v>
      </c>
      <c r="K8" s="33">
        <f t="shared" si="0"/>
        <v>31321.164534565924</v>
      </c>
      <c r="L8" s="34">
        <f>C23</f>
        <v>1</v>
      </c>
      <c r="M8" s="35">
        <f>K8*L8</f>
        <v>31321.164534565924</v>
      </c>
      <c r="N8" s="4"/>
      <c r="O8" s="32" t="s">
        <v>35</v>
      </c>
      <c r="P8" s="33">
        <f>C19</f>
        <v>31321.164534565924</v>
      </c>
      <c r="Q8" s="34">
        <f>D23</f>
        <v>0.5</v>
      </c>
      <c r="R8" s="35">
        <f>P8*Q8</f>
        <v>15660.582267282962</v>
      </c>
      <c r="S8" s="4"/>
      <c r="T8" s="32" t="s">
        <v>35</v>
      </c>
      <c r="U8" s="33">
        <f>C19</f>
        <v>31321.164534565924</v>
      </c>
      <c r="V8" s="34">
        <f>E23</f>
        <v>0.5</v>
      </c>
      <c r="W8" s="35">
        <f>U8*V8</f>
        <v>15660.582267282962</v>
      </c>
      <c r="AC8" s="11"/>
      <c r="AI8" s="43"/>
      <c r="AS8" s="39"/>
      <c r="AT8" s="39"/>
      <c r="AU8" s="39"/>
    </row>
    <row r="9" spans="1:55" s="39" customFormat="1">
      <c r="B9" s="30" t="s">
        <v>36</v>
      </c>
      <c r="C9" s="45">
        <v>5.8480244636982839</v>
      </c>
      <c r="D9" s="41">
        <f t="shared" si="1"/>
        <v>5.9945988533335264</v>
      </c>
      <c r="E9" s="231">
        <f>R31</f>
        <v>6.0111666113998767</v>
      </c>
      <c r="F9" s="232">
        <f t="shared" si="2"/>
        <v>0.16314214770159285</v>
      </c>
      <c r="G9" s="233">
        <f t="shared" si="3"/>
        <v>2.7896967380061533E-2</v>
      </c>
      <c r="H9" s="8"/>
      <c r="J9" s="46" t="s">
        <v>37</v>
      </c>
      <c r="K9" s="47"/>
      <c r="L9" s="48">
        <f>SUM(L6:L8)</f>
        <v>24.279999999999998</v>
      </c>
      <c r="M9" s="49">
        <f>SUM(M6:M8)</f>
        <v>801873.80763602012</v>
      </c>
      <c r="N9" s="4"/>
      <c r="O9" s="46" t="s">
        <v>37</v>
      </c>
      <c r="P9" s="47"/>
      <c r="Q9" s="48">
        <f>SUM(Q6:Q8)</f>
        <v>12.3</v>
      </c>
      <c r="R9" s="49">
        <f>SUM(R6:R8)</f>
        <v>410338.76785804541</v>
      </c>
      <c r="S9" s="4"/>
      <c r="T9" s="46" t="s">
        <v>37</v>
      </c>
      <c r="U9" s="47"/>
      <c r="V9" s="48">
        <f>SUM(V6:V8)</f>
        <v>7.9399999999999995</v>
      </c>
      <c r="W9" s="49">
        <f>SUM(W6:W8)</f>
        <v>268961.77769643278</v>
      </c>
      <c r="AC9" s="11"/>
      <c r="AI9" s="43"/>
      <c r="AR9" s="9"/>
      <c r="AS9" s="9"/>
      <c r="AT9" s="9"/>
      <c r="AU9" s="9"/>
    </row>
    <row r="10" spans="1:55" s="39" customFormat="1">
      <c r="B10" s="30" t="s">
        <v>38</v>
      </c>
      <c r="C10" s="45">
        <v>4.1839855644482293</v>
      </c>
      <c r="D10" s="41">
        <f t="shared" si="1"/>
        <v>4.2888526241123124</v>
      </c>
      <c r="E10" s="231">
        <f>W31</f>
        <v>4.307918356758857</v>
      </c>
      <c r="F10" s="232">
        <f t="shared" si="2"/>
        <v>0.1239327923106277</v>
      </c>
      <c r="G10" s="233">
        <f t="shared" si="3"/>
        <v>2.9620750454709459E-2</v>
      </c>
      <c r="H10" s="8"/>
      <c r="J10" s="26"/>
      <c r="K10" s="27"/>
      <c r="L10" s="37"/>
      <c r="M10" s="50"/>
      <c r="N10" s="4"/>
      <c r="O10" s="26"/>
      <c r="P10" s="27"/>
      <c r="Q10" s="37"/>
      <c r="R10" s="50"/>
      <c r="S10" s="4"/>
      <c r="T10" s="26"/>
      <c r="U10" s="27"/>
      <c r="V10" s="37"/>
      <c r="W10" s="50"/>
      <c r="AC10" s="17"/>
      <c r="AI10" s="11"/>
      <c r="AR10" s="9"/>
      <c r="AS10" s="5"/>
      <c r="AT10" s="5"/>
      <c r="AU10" s="5"/>
    </row>
    <row r="11" spans="1:55" s="9" customFormat="1">
      <c r="B11" s="30" t="s">
        <v>39</v>
      </c>
      <c r="C11" s="45">
        <v>3.4642867742011272</v>
      </c>
      <c r="D11" s="41">
        <f t="shared" si="1"/>
        <v>3.5511153643689695</v>
      </c>
      <c r="E11" s="231">
        <f>M61</f>
        <v>3.5640320495636351</v>
      </c>
      <c r="F11" s="232">
        <f t="shared" si="2"/>
        <v>9.9745275362507879E-2</v>
      </c>
      <c r="G11" s="233">
        <f t="shared" si="3"/>
        <v>2.8792441810914855E-2</v>
      </c>
      <c r="H11" s="8"/>
      <c r="J11" s="51" t="str">
        <f>B29</f>
        <v>Tax &amp; Fringe</v>
      </c>
      <c r="K11" s="52">
        <f>$C$29</f>
        <v>0.23105972742020292</v>
      </c>
      <c r="L11" s="53"/>
      <c r="M11" s="35">
        <f>K11*M9</f>
        <v>185280.74341777904</v>
      </c>
      <c r="N11" s="4"/>
      <c r="O11" s="51" t="s">
        <v>40</v>
      </c>
      <c r="P11" s="52">
        <f>$C$29</f>
        <v>0.23105972742020292</v>
      </c>
      <c r="Q11" s="53"/>
      <c r="R11" s="35">
        <f>P11*R9</f>
        <v>94812.763851221898</v>
      </c>
      <c r="S11" s="4"/>
      <c r="T11" s="88" t="s">
        <v>40</v>
      </c>
      <c r="U11" s="52">
        <f>$C$29</f>
        <v>0.23105972742020292</v>
      </c>
      <c r="V11" s="53"/>
      <c r="W11" s="35">
        <f>U11*W9</f>
        <v>62146.23504099097</v>
      </c>
      <c r="AC11" s="36"/>
      <c r="AI11" s="37"/>
      <c r="AS11" s="5"/>
      <c r="AT11" s="5"/>
      <c r="AU11" s="5"/>
    </row>
    <row r="12" spans="1:55" s="5" customFormat="1" ht="15.75" thickBot="1">
      <c r="B12" s="30" t="s">
        <v>135</v>
      </c>
      <c r="C12" s="45">
        <v>3.0582617322290169</v>
      </c>
      <c r="D12" s="41">
        <f t="shared" si="1"/>
        <v>3.134913745148745</v>
      </c>
      <c r="E12" s="231">
        <f>R61</f>
        <v>3.1501072066009486</v>
      </c>
      <c r="F12" s="232">
        <f t="shared" si="2"/>
        <v>9.184547437193169E-2</v>
      </c>
      <c r="G12" s="233">
        <f t="shared" si="3"/>
        <v>3.0031920879770493E-2</v>
      </c>
      <c r="H12" s="8"/>
      <c r="J12" s="54" t="s">
        <v>41</v>
      </c>
      <c r="K12" s="55"/>
      <c r="L12" s="56"/>
      <c r="M12" s="57">
        <f>M11+M9</f>
        <v>987154.55105379922</v>
      </c>
      <c r="N12" s="4"/>
      <c r="O12" s="54" t="s">
        <v>41</v>
      </c>
      <c r="P12" s="55"/>
      <c r="Q12" s="56"/>
      <c r="R12" s="57">
        <f>R11+R9</f>
        <v>505151.53170926729</v>
      </c>
      <c r="S12" s="4"/>
      <c r="T12" s="54" t="s">
        <v>41</v>
      </c>
      <c r="U12" s="55"/>
      <c r="V12" s="56"/>
      <c r="W12" s="57">
        <f>W11+W9</f>
        <v>331108.01273742376</v>
      </c>
      <c r="AC12" s="58"/>
      <c r="AI12" s="37"/>
      <c r="AR12" s="9"/>
    </row>
    <row r="13" spans="1:55" s="5" customFormat="1" ht="15.75" thickTop="1">
      <c r="B13" s="30" t="s">
        <v>42</v>
      </c>
      <c r="C13" s="45">
        <v>2.491600028859406</v>
      </c>
      <c r="D13" s="41">
        <f t="shared" si="1"/>
        <v>2.5540492808610407</v>
      </c>
      <c r="E13" s="231">
        <f>W61</f>
        <v>2.5711021333292141</v>
      </c>
      <c r="F13" s="232">
        <f t="shared" si="2"/>
        <v>7.9502104469808099E-2</v>
      </c>
      <c r="G13" s="233">
        <f t="shared" si="3"/>
        <v>3.1908052475903295E-2</v>
      </c>
      <c r="H13" s="8"/>
      <c r="J13" s="61"/>
      <c r="K13" s="62"/>
      <c r="L13" s="28" t="s">
        <v>43</v>
      </c>
      <c r="M13" s="35"/>
      <c r="N13" s="4"/>
      <c r="O13" s="61"/>
      <c r="P13" s="62"/>
      <c r="Q13" s="28" t="s">
        <v>43</v>
      </c>
      <c r="R13" s="35"/>
      <c r="S13" s="4"/>
      <c r="T13" s="61"/>
      <c r="U13" s="62"/>
      <c r="V13" s="28" t="s">
        <v>43</v>
      </c>
      <c r="W13" s="35"/>
      <c r="AC13" s="36"/>
      <c r="AI13" s="37"/>
      <c r="AR13" s="9"/>
      <c r="AS13" s="8"/>
      <c r="AT13" s="8"/>
      <c r="AU13" s="8"/>
    </row>
    <row r="14" spans="1:55" s="5" customFormat="1" ht="15.75" thickBot="1">
      <c r="A14" s="8"/>
      <c r="B14" s="4"/>
      <c r="F14" s="63"/>
      <c r="I14" s="8"/>
      <c r="J14" s="32" t="str">
        <f t="shared" ref="J14:J20" si="4">B30</f>
        <v xml:space="preserve">Occupancy (per unit) </v>
      </c>
      <c r="K14" s="62"/>
      <c r="L14" s="65">
        <f t="shared" ref="L14:L19" si="5">C30</f>
        <v>10.819736304643023</v>
      </c>
      <c r="M14" s="35">
        <f t="shared" ref="M14:M19" si="6">L14*$M$4</f>
        <v>54098.681523215113</v>
      </c>
      <c r="N14" s="4"/>
      <c r="O14" s="32" t="str">
        <f t="shared" ref="O14:O20" si="7">B30</f>
        <v xml:space="preserve">Occupancy (per unit) </v>
      </c>
      <c r="P14" s="62"/>
      <c r="Q14" s="65">
        <f t="shared" ref="Q14:Q19" si="8">C30</f>
        <v>10.819736304643023</v>
      </c>
      <c r="R14" s="35">
        <f t="shared" ref="R14:R19" si="9">Q14*$R$4</f>
        <v>54098.681523215113</v>
      </c>
      <c r="S14" s="4"/>
      <c r="T14" s="32" t="str">
        <f t="shared" ref="T14:T20" si="10">B30</f>
        <v xml:space="preserve">Occupancy (per unit) </v>
      </c>
      <c r="U14" s="62"/>
      <c r="V14" s="65">
        <f t="shared" ref="V14:V19" si="11">C30</f>
        <v>10.819736304643023</v>
      </c>
      <c r="W14" s="35">
        <f t="shared" ref="W14:W20" si="12">V14*$W$4</f>
        <v>54098.681523215113</v>
      </c>
      <c r="AC14" s="11"/>
      <c r="AI14" s="66"/>
      <c r="AR14" s="9"/>
      <c r="AS14" s="4"/>
      <c r="AT14" s="4"/>
      <c r="AU14" s="4"/>
    </row>
    <row r="15" spans="1:55" s="8" customFormat="1" ht="15.75" thickBot="1">
      <c r="A15" s="4"/>
      <c r="B15" s="531" t="s">
        <v>44</v>
      </c>
      <c r="C15" s="532"/>
      <c r="D15" s="532"/>
      <c r="E15" s="532"/>
      <c r="F15" s="532"/>
      <c r="G15" s="532"/>
      <c r="H15" s="533"/>
      <c r="I15" s="4"/>
      <c r="J15" s="32" t="str">
        <f t="shared" si="4"/>
        <v>Consultant/Temp Help (per unit)</v>
      </c>
      <c r="K15" s="62"/>
      <c r="L15" s="65">
        <f t="shared" si="5"/>
        <v>1.5672043275850356</v>
      </c>
      <c r="M15" s="35">
        <f t="shared" si="6"/>
        <v>7836.0216379251779</v>
      </c>
      <c r="N15" s="4"/>
      <c r="O15" s="32" t="str">
        <f t="shared" si="7"/>
        <v>Consultant/Temp Help (per unit)</v>
      </c>
      <c r="P15" s="62"/>
      <c r="Q15" s="65">
        <f t="shared" si="8"/>
        <v>1.5672043275850356</v>
      </c>
      <c r="R15" s="35">
        <f t="shared" si="9"/>
        <v>7836.0216379251779</v>
      </c>
      <c r="S15" s="4"/>
      <c r="T15" s="32" t="str">
        <f t="shared" si="10"/>
        <v>Consultant/Temp Help (per unit)</v>
      </c>
      <c r="U15" s="62"/>
      <c r="V15" s="65">
        <f t="shared" si="11"/>
        <v>1.5672043275850356</v>
      </c>
      <c r="W15" s="35">
        <f t="shared" si="12"/>
        <v>7836.0216379251779</v>
      </c>
      <c r="AC15" s="11"/>
      <c r="AI15" s="11"/>
      <c r="AR15" s="4"/>
      <c r="AS15" s="4"/>
      <c r="AT15" s="4"/>
      <c r="AU15" s="4"/>
    </row>
    <row r="16" spans="1:55" ht="15.75" thickBot="1">
      <c r="B16" s="549" t="s">
        <v>45</v>
      </c>
      <c r="C16" s="550"/>
      <c r="D16" s="551" t="s">
        <v>46</v>
      </c>
      <c r="E16" s="552"/>
      <c r="F16" s="552"/>
      <c r="G16" s="552"/>
      <c r="H16" s="553"/>
      <c r="J16" s="32" t="str">
        <f t="shared" si="4"/>
        <v>Direct Client Expense (per unit)</v>
      </c>
      <c r="K16" s="62"/>
      <c r="L16" s="65">
        <f t="shared" si="5"/>
        <v>5.0330903324475935</v>
      </c>
      <c r="M16" s="35">
        <f t="shared" si="6"/>
        <v>25165.451662237967</v>
      </c>
      <c r="O16" s="32" t="str">
        <f t="shared" si="7"/>
        <v>Direct Client Expense (per unit)</v>
      </c>
      <c r="P16" s="62"/>
      <c r="Q16" s="65">
        <f t="shared" si="8"/>
        <v>5.0330903324475935</v>
      </c>
      <c r="R16" s="35">
        <f t="shared" si="9"/>
        <v>25165.451662237967</v>
      </c>
      <c r="T16" s="32" t="str">
        <f t="shared" si="10"/>
        <v>Direct Client Expense (per unit)</v>
      </c>
      <c r="U16" s="62"/>
      <c r="V16" s="65">
        <f t="shared" si="11"/>
        <v>5.0330903324475935</v>
      </c>
      <c r="W16" s="35">
        <f t="shared" si="12"/>
        <v>25165.451662237967</v>
      </c>
      <c r="AJ16" s="14"/>
      <c r="AK16" s="14"/>
      <c r="AL16" s="14"/>
      <c r="AM16" s="14"/>
      <c r="AN16" s="14"/>
      <c r="AO16" s="14"/>
      <c r="AR16" s="5"/>
      <c r="AS16" s="5"/>
      <c r="AT16" s="67"/>
      <c r="AU16" s="4"/>
      <c r="AV16" s="4"/>
      <c r="AW16" s="4"/>
      <c r="AX16" s="4"/>
      <c r="AY16" s="4"/>
      <c r="AZ16" s="4"/>
      <c r="BA16" s="4"/>
      <c r="BB16" s="4"/>
      <c r="BC16" s="4"/>
    </row>
    <row r="17" spans="1:72">
      <c r="B17" s="68" t="s">
        <v>47</v>
      </c>
      <c r="C17" s="234">
        <f>[4]Analysis!O7</f>
        <v>56409.608617450482</v>
      </c>
      <c r="D17" s="74" t="s">
        <v>136</v>
      </c>
      <c r="E17" s="70"/>
      <c r="F17" s="71"/>
      <c r="G17" s="71"/>
      <c r="H17" s="72"/>
      <c r="J17" s="32" t="str">
        <f t="shared" si="4"/>
        <v>Supplies (per unit)</v>
      </c>
      <c r="K17" s="62"/>
      <c r="L17" s="65">
        <f t="shared" si="5"/>
        <v>1.2367396133400166</v>
      </c>
      <c r="M17" s="35">
        <f t="shared" si="6"/>
        <v>6183.6980667000826</v>
      </c>
      <c r="O17" s="32" t="str">
        <f t="shared" si="7"/>
        <v>Supplies (per unit)</v>
      </c>
      <c r="P17" s="62"/>
      <c r="Q17" s="65">
        <f t="shared" si="8"/>
        <v>1.2367396133400166</v>
      </c>
      <c r="R17" s="35">
        <f t="shared" si="9"/>
        <v>6183.6980667000826</v>
      </c>
      <c r="T17" s="32" t="str">
        <f t="shared" si="10"/>
        <v>Supplies (per unit)</v>
      </c>
      <c r="U17" s="62"/>
      <c r="V17" s="65">
        <f t="shared" si="11"/>
        <v>1.2367396133400166</v>
      </c>
      <c r="W17" s="35">
        <f t="shared" si="12"/>
        <v>6183.6980667000826</v>
      </c>
      <c r="AJ17" s="14"/>
      <c r="AK17" s="14"/>
      <c r="AL17" s="14"/>
      <c r="AM17" s="14"/>
      <c r="AN17" s="14"/>
      <c r="AO17" s="14"/>
      <c r="AR17" s="73"/>
      <c r="AS17" s="5"/>
      <c r="AT17" s="63"/>
      <c r="AU17" s="4"/>
      <c r="AV17" s="4"/>
      <c r="AW17" s="4"/>
      <c r="AX17" s="4"/>
      <c r="AY17" s="4"/>
      <c r="AZ17" s="4"/>
      <c r="BA17" s="4"/>
      <c r="BB17" s="4"/>
      <c r="BC17" s="4"/>
    </row>
    <row r="18" spans="1:72">
      <c r="B18" s="51" t="s">
        <v>48</v>
      </c>
      <c r="C18" s="235">
        <f>[4]Analysis!O18</f>
        <v>31321.164534565924</v>
      </c>
      <c r="D18" s="74" t="s">
        <v>137</v>
      </c>
      <c r="E18" s="70"/>
      <c r="F18" s="71"/>
      <c r="G18" s="71"/>
      <c r="H18" s="72"/>
      <c r="J18" s="32" t="str">
        <f t="shared" si="4"/>
        <v>Other Expenses (per unit)</v>
      </c>
      <c r="K18" s="62"/>
      <c r="L18" s="65">
        <f t="shared" si="5"/>
        <v>1.1148160758876351</v>
      </c>
      <c r="M18" s="35">
        <f t="shared" si="6"/>
        <v>5574.0803794381754</v>
      </c>
      <c r="O18" s="32" t="str">
        <f t="shared" si="7"/>
        <v>Other Expenses (per unit)</v>
      </c>
      <c r="P18" s="62"/>
      <c r="Q18" s="65">
        <f t="shared" si="8"/>
        <v>1.1148160758876351</v>
      </c>
      <c r="R18" s="35">
        <f t="shared" si="9"/>
        <v>5574.0803794381754</v>
      </c>
      <c r="T18" s="32" t="str">
        <f t="shared" si="10"/>
        <v>Other Expenses (per unit)</v>
      </c>
      <c r="U18" s="62"/>
      <c r="V18" s="65">
        <f t="shared" si="11"/>
        <v>1.1148160758876351</v>
      </c>
      <c r="W18" s="35">
        <f t="shared" si="12"/>
        <v>5574.0803794381754</v>
      </c>
      <c r="AJ18" s="14"/>
      <c r="AK18" s="14"/>
      <c r="AL18" s="14"/>
      <c r="AM18" s="14"/>
      <c r="AN18" s="14"/>
      <c r="AO18" s="14"/>
      <c r="AR18" s="73"/>
      <c r="AS18" s="77"/>
      <c r="AT18" s="63"/>
      <c r="AU18" s="4"/>
      <c r="AV18" s="4"/>
      <c r="AW18" s="4"/>
      <c r="AX18" s="4"/>
      <c r="AY18" s="4"/>
      <c r="AZ18" s="4"/>
      <c r="BA18" s="4"/>
      <c r="BB18" s="4"/>
      <c r="BC18" s="4"/>
    </row>
    <row r="19" spans="1:72">
      <c r="B19" s="80" t="s">
        <v>50</v>
      </c>
      <c r="C19" s="236">
        <f>C18</f>
        <v>31321.164534565924</v>
      </c>
      <c r="D19" s="69" t="s">
        <v>138</v>
      </c>
      <c r="E19" s="81"/>
      <c r="F19" s="82"/>
      <c r="G19" s="82"/>
      <c r="H19" s="72"/>
      <c r="J19" s="32" t="str">
        <f t="shared" si="4"/>
        <v>Direct Admin Expense (per unit)</v>
      </c>
      <c r="K19" s="62"/>
      <c r="L19" s="65">
        <f t="shared" si="5"/>
        <v>1.6302160810224837</v>
      </c>
      <c r="M19" s="35">
        <f t="shared" si="6"/>
        <v>8151.0804051124187</v>
      </c>
      <c r="O19" s="32" t="str">
        <f t="shared" si="7"/>
        <v>Direct Admin Expense (per unit)</v>
      </c>
      <c r="P19" s="62"/>
      <c r="Q19" s="65">
        <f t="shared" si="8"/>
        <v>1.6302160810224837</v>
      </c>
      <c r="R19" s="35">
        <f t="shared" si="9"/>
        <v>8151.0804051124187</v>
      </c>
      <c r="T19" s="32" t="str">
        <f t="shared" si="10"/>
        <v>Direct Admin Expense (per unit)</v>
      </c>
      <c r="U19" s="62"/>
      <c r="V19" s="65">
        <f t="shared" si="11"/>
        <v>1.6302160810224837</v>
      </c>
      <c r="W19" s="35">
        <f t="shared" si="12"/>
        <v>8151.0804051124187</v>
      </c>
      <c r="AJ19" s="14"/>
      <c r="AK19" s="14"/>
      <c r="AL19" s="14"/>
      <c r="AM19" s="14"/>
      <c r="AN19" s="14"/>
      <c r="AO19" s="14"/>
      <c r="AR19" s="5"/>
      <c r="AS19" s="77"/>
      <c r="AT19" s="63"/>
      <c r="AU19" s="4"/>
      <c r="AV19" s="4"/>
      <c r="AW19" s="4"/>
      <c r="AX19" s="4"/>
      <c r="AY19" s="4"/>
      <c r="AZ19" s="4"/>
      <c r="BA19" s="4"/>
      <c r="BB19" s="4"/>
      <c r="BC19" s="4"/>
    </row>
    <row r="20" spans="1:72">
      <c r="B20" s="84" t="s">
        <v>51</v>
      </c>
      <c r="C20" s="85" t="s">
        <v>8</v>
      </c>
      <c r="D20" s="85" t="s">
        <v>9</v>
      </c>
      <c r="E20" s="85" t="s">
        <v>10</v>
      </c>
      <c r="F20" s="85" t="s">
        <v>11</v>
      </c>
      <c r="G20" s="85" t="s">
        <v>12</v>
      </c>
      <c r="H20" s="86" t="s">
        <v>13</v>
      </c>
      <c r="J20" s="32" t="str">
        <f t="shared" si="4"/>
        <v>Transprtation (per unit per ratio)</v>
      </c>
      <c r="K20" s="62"/>
      <c r="L20" s="75">
        <f>C36*C26</f>
        <v>3.4494472650742094</v>
      </c>
      <c r="M20" s="76">
        <f>L20*$M$4</f>
        <v>17247.236325371046</v>
      </c>
      <c r="O20" s="32" t="str">
        <f t="shared" si="7"/>
        <v>Transprtation (per unit per ratio)</v>
      </c>
      <c r="P20" s="62"/>
      <c r="Q20" s="75">
        <f>C36*D26</f>
        <v>2.2421407222982364</v>
      </c>
      <c r="R20" s="76">
        <f>Q20*$R$4</f>
        <v>11210.703611491183</v>
      </c>
      <c r="T20" s="32" t="str">
        <f t="shared" si="10"/>
        <v>Transprtation (per unit per ratio)</v>
      </c>
      <c r="U20" s="62"/>
      <c r="V20" s="75">
        <f>C36*E26</f>
        <v>1.7247236325371047</v>
      </c>
      <c r="W20" s="76">
        <f t="shared" si="12"/>
        <v>8623.6181626855232</v>
      </c>
      <c r="AJ20" s="14"/>
      <c r="AK20" s="14"/>
      <c r="AL20" s="14"/>
      <c r="AM20" s="14"/>
      <c r="AN20" s="14"/>
      <c r="AO20" s="14"/>
      <c r="AR20" s="5"/>
      <c r="AS20" s="5"/>
      <c r="AT20" s="63"/>
      <c r="AU20" s="4"/>
      <c r="AV20" s="4"/>
      <c r="AW20" s="4"/>
      <c r="AX20" s="4"/>
      <c r="AY20" s="4"/>
      <c r="AZ20" s="4"/>
      <c r="BA20" s="4"/>
      <c r="BB20" s="4"/>
      <c r="BC20" s="4"/>
    </row>
    <row r="21" spans="1:72">
      <c r="B21" s="88" t="s">
        <v>47</v>
      </c>
      <c r="C21" s="89">
        <v>1.65</v>
      </c>
      <c r="D21" s="89">
        <v>1</v>
      </c>
      <c r="E21" s="89">
        <v>0.8</v>
      </c>
      <c r="F21" s="89">
        <v>0.5</v>
      </c>
      <c r="G21" s="89">
        <v>0.5</v>
      </c>
      <c r="H21" s="90">
        <v>0.25</v>
      </c>
      <c r="J21" s="32"/>
      <c r="K21" s="62"/>
      <c r="L21" s="78">
        <f>SUM(L14:L20)</f>
        <v>24.851249999999997</v>
      </c>
      <c r="M21" s="79">
        <f>SUM(M14:M20)</f>
        <v>124256.24999999997</v>
      </c>
      <c r="O21" s="32"/>
      <c r="P21" s="62"/>
      <c r="Q21" s="78">
        <f>SUM(Q14:Q20)</f>
        <v>23.643943457224026</v>
      </c>
      <c r="R21" s="79">
        <f>SUM(R14:R20)</f>
        <v>118219.71728612011</v>
      </c>
      <c r="T21" s="32"/>
      <c r="U21" s="62"/>
      <c r="V21" s="78">
        <f>SUM(V14:V20)</f>
        <v>23.126526367462894</v>
      </c>
      <c r="W21" s="79">
        <f>SUM(W14:W20)</f>
        <v>115632.63183731445</v>
      </c>
      <c r="AJ21" s="14"/>
      <c r="AK21" s="14"/>
      <c r="AL21" s="14"/>
      <c r="AM21" s="14"/>
      <c r="AN21" s="14"/>
      <c r="AO21" s="14"/>
      <c r="AR21" s="87"/>
      <c r="AS21" s="5"/>
      <c r="AT21" s="63"/>
      <c r="AU21" s="4"/>
      <c r="AV21" s="4"/>
      <c r="AW21" s="4"/>
      <c r="AX21" s="4"/>
      <c r="AY21" s="4"/>
      <c r="AZ21" s="4"/>
      <c r="BA21" s="4"/>
      <c r="BB21" s="4"/>
      <c r="BC21" s="4"/>
    </row>
    <row r="22" spans="1:72">
      <c r="B22" s="51" t="s">
        <v>48</v>
      </c>
      <c r="C22" s="95">
        <v>21.63</v>
      </c>
      <c r="D22" s="95">
        <v>10.8</v>
      </c>
      <c r="E22" s="95">
        <v>6.64</v>
      </c>
      <c r="F22" s="95">
        <f>'[2]FY18 Models Alone'!F24+'[2]FY18 Models Alone'!F25</f>
        <v>5.2307692307692308</v>
      </c>
      <c r="G22" s="95">
        <f>'[2]FY18 Models Alone'!G24+'[2]FY18 Models Alone'!G25</f>
        <v>4.1846153846153848</v>
      </c>
      <c r="H22" s="96">
        <f>'[2]FY18 Models Alone'!H24+'[2]FY18 Models Alone'!H25</f>
        <v>3.4</v>
      </c>
      <c r="J22" s="61"/>
      <c r="K22" s="62"/>
      <c r="L22" s="83"/>
      <c r="M22" s="35"/>
      <c r="O22" s="61"/>
      <c r="P22" s="62"/>
      <c r="Q22" s="83"/>
      <c r="R22" s="35"/>
      <c r="T22" s="61"/>
      <c r="U22" s="62"/>
      <c r="V22" s="83"/>
      <c r="W22" s="35"/>
      <c r="AJ22" s="14"/>
      <c r="AK22" s="14"/>
      <c r="AL22" s="14"/>
      <c r="AM22" s="14"/>
      <c r="AN22" s="14"/>
      <c r="AO22" s="14"/>
      <c r="AR22" s="87"/>
      <c r="AS22" s="94"/>
      <c r="AT22" s="63"/>
      <c r="AU22" s="5"/>
      <c r="AV22" s="4"/>
      <c r="AW22" s="4"/>
      <c r="AX22" s="4"/>
      <c r="AY22" s="4"/>
      <c r="AZ22" s="4"/>
      <c r="BA22" s="4"/>
      <c r="BB22" s="4"/>
      <c r="BC22" s="4"/>
    </row>
    <row r="23" spans="1:72" ht="15.75" thickBot="1">
      <c r="A23" s="5"/>
      <c r="B23" s="104" t="s">
        <v>50</v>
      </c>
      <c r="C23" s="105">
        <v>1</v>
      </c>
      <c r="D23" s="105">
        <v>0.5</v>
      </c>
      <c r="E23" s="105">
        <v>0.5</v>
      </c>
      <c r="F23" s="105">
        <v>0.5</v>
      </c>
      <c r="G23" s="105">
        <v>0.5</v>
      </c>
      <c r="H23" s="106">
        <v>0.2</v>
      </c>
      <c r="I23" s="5"/>
      <c r="J23" s="46" t="s">
        <v>52</v>
      </c>
      <c r="K23" s="47"/>
      <c r="L23" s="48"/>
      <c r="M23" s="49">
        <f>M12+M21</f>
        <v>1111410.8010537992</v>
      </c>
      <c r="O23" s="46" t="s">
        <v>52</v>
      </c>
      <c r="P23" s="47"/>
      <c r="Q23" s="48"/>
      <c r="R23" s="49">
        <f>R12+R21</f>
        <v>623371.24899538746</v>
      </c>
      <c r="T23" s="46" t="s">
        <v>52</v>
      </c>
      <c r="U23" s="47"/>
      <c r="V23" s="48"/>
      <c r="W23" s="49">
        <f>W12+W21</f>
        <v>446740.64457473822</v>
      </c>
      <c r="AJ23" s="14"/>
      <c r="AK23" s="14"/>
      <c r="AL23" s="14"/>
      <c r="AM23" s="14"/>
      <c r="AN23" s="14"/>
      <c r="AO23" s="14"/>
      <c r="AR23" s="87"/>
      <c r="AS23" s="5"/>
      <c r="AT23" s="99"/>
      <c r="AU23" s="5"/>
      <c r="AV23" s="4"/>
      <c r="AW23" s="4"/>
      <c r="AX23" s="4"/>
      <c r="AY23" s="4"/>
      <c r="AZ23" s="4"/>
      <c r="BA23" s="4"/>
      <c r="BB23" s="4"/>
      <c r="BC23" s="4"/>
    </row>
    <row r="24" spans="1:72" s="5" customFormat="1" ht="15.75" thickBot="1">
      <c r="B24" s="108" t="s">
        <v>56</v>
      </c>
      <c r="C24" s="109">
        <f t="shared" ref="C24:H24" si="13">SUM(C21:C23)</f>
        <v>24.279999999999998</v>
      </c>
      <c r="D24" s="109">
        <f t="shared" si="13"/>
        <v>12.3</v>
      </c>
      <c r="E24" s="109">
        <f t="shared" si="13"/>
        <v>7.9399999999999995</v>
      </c>
      <c r="F24" s="109">
        <f t="shared" si="13"/>
        <v>6.2307692307692308</v>
      </c>
      <c r="G24" s="109">
        <f t="shared" si="13"/>
        <v>5.1846153846153848</v>
      </c>
      <c r="H24" s="110">
        <f t="shared" si="13"/>
        <v>3.85</v>
      </c>
      <c r="J24" s="91"/>
      <c r="K24" s="92"/>
      <c r="L24" s="93"/>
      <c r="M24" s="79"/>
      <c r="N24" s="4"/>
      <c r="O24" s="91"/>
      <c r="P24" s="92"/>
      <c r="Q24" s="93"/>
      <c r="R24" s="79"/>
      <c r="S24" s="4"/>
      <c r="T24" s="91"/>
      <c r="U24" s="92"/>
      <c r="V24" s="93"/>
      <c r="W24" s="79"/>
      <c r="AC24" s="17"/>
      <c r="AI24" s="11"/>
      <c r="AJ24" s="14"/>
      <c r="AT24" s="63"/>
      <c r="AU24" s="94"/>
    </row>
    <row r="25" spans="1:72" s="5" customFormat="1" ht="15.75" thickTop="1">
      <c r="B25" s="554" t="s">
        <v>58</v>
      </c>
      <c r="C25" s="85" t="s">
        <v>8</v>
      </c>
      <c r="D25" s="85" t="s">
        <v>9</v>
      </c>
      <c r="E25" s="85" t="s">
        <v>10</v>
      </c>
      <c r="F25" s="85" t="s">
        <v>11</v>
      </c>
      <c r="G25" s="85" t="s">
        <v>12</v>
      </c>
      <c r="H25" s="86" t="s">
        <v>13</v>
      </c>
      <c r="J25" s="32" t="str">
        <f>B37</f>
        <v>Admin Allocation</v>
      </c>
      <c r="K25" s="97">
        <f>C37</f>
        <v>0.12647885873312933</v>
      </c>
      <c r="L25" s="98"/>
      <c r="M25" s="35">
        <f>K25*M23</f>
        <v>140569.96970095759</v>
      </c>
      <c r="N25" s="4"/>
      <c r="O25" s="32" t="s">
        <v>54</v>
      </c>
      <c r="P25" s="97">
        <f>C37</f>
        <v>0.12647885873312933</v>
      </c>
      <c r="Q25" s="98"/>
      <c r="R25" s="35">
        <f>P25*R23</f>
        <v>78843.284139982003</v>
      </c>
      <c r="S25" s="4"/>
      <c r="T25" s="61" t="s">
        <v>54</v>
      </c>
      <c r="U25" s="97">
        <f>C37</f>
        <v>0.12647885873312933</v>
      </c>
      <c r="V25" s="98"/>
      <c r="W25" s="35">
        <f>U25*W23</f>
        <v>56503.246875515455</v>
      </c>
      <c r="AC25" s="17"/>
      <c r="AI25" s="11"/>
      <c r="AJ25" s="14"/>
      <c r="AT25" s="63"/>
      <c r="AU25" s="4"/>
    </row>
    <row r="26" spans="1:72" s="94" customFormat="1" ht="15.75" thickBot="1">
      <c r="A26" s="5"/>
      <c r="B26" s="555"/>
      <c r="C26" s="120">
        <f>[4]Analysis!E55</f>
        <v>1</v>
      </c>
      <c r="D26" s="121">
        <f>[4]Analysis!E56</f>
        <v>0.65</v>
      </c>
      <c r="E26" s="121">
        <f>[4]Analysis!E57</f>
        <v>0.5</v>
      </c>
      <c r="F26" s="120">
        <f>[4]Analysis!E58</f>
        <v>0.4</v>
      </c>
      <c r="G26" s="121">
        <f>[4]Analysis!E59</f>
        <v>0.25</v>
      </c>
      <c r="H26" s="122">
        <f>[4]Analysis!E60</f>
        <v>0.2</v>
      </c>
      <c r="I26" s="5"/>
      <c r="J26" s="100" t="s">
        <v>55</v>
      </c>
      <c r="K26" s="101"/>
      <c r="L26" s="102"/>
      <c r="M26" s="103">
        <f>SUM(M23:M25)</f>
        <v>1251980.7707547569</v>
      </c>
      <c r="N26" s="4"/>
      <c r="O26" s="100" t="s">
        <v>55</v>
      </c>
      <c r="P26" s="101"/>
      <c r="Q26" s="102"/>
      <c r="R26" s="103">
        <f>SUM(R23:R25)</f>
        <v>702214.53313536942</v>
      </c>
      <c r="S26" s="4"/>
      <c r="T26" s="100" t="s">
        <v>55</v>
      </c>
      <c r="U26" s="101"/>
      <c r="V26" s="102"/>
      <c r="W26" s="103">
        <f>SUM(W23:W25)</f>
        <v>503243.89145025366</v>
      </c>
      <c r="AC26" s="11"/>
      <c r="AI26" s="71"/>
      <c r="AJ26" s="14"/>
      <c r="AR26" s="5"/>
      <c r="AS26" s="5"/>
      <c r="AT26" s="63"/>
      <c r="AU26" s="5"/>
    </row>
    <row r="27" spans="1:72" ht="15" customHeight="1">
      <c r="A27" s="94"/>
      <c r="B27" s="126" t="s">
        <v>5</v>
      </c>
      <c r="C27" s="127">
        <v>20</v>
      </c>
      <c r="D27" s="128" t="s">
        <v>6</v>
      </c>
      <c r="E27" s="129">
        <v>250</v>
      </c>
      <c r="F27" s="130" t="s">
        <v>7</v>
      </c>
      <c r="G27" s="129">
        <f>C27*E27</f>
        <v>5000</v>
      </c>
      <c r="H27" s="131"/>
      <c r="I27" s="94"/>
      <c r="J27" s="26"/>
      <c r="K27" s="27"/>
      <c r="L27" s="107"/>
      <c r="M27" s="50"/>
      <c r="O27" s="26"/>
      <c r="P27" s="27"/>
      <c r="Q27" s="107"/>
      <c r="R27" s="50"/>
      <c r="T27" s="26"/>
      <c r="U27" s="27"/>
      <c r="V27" s="107"/>
      <c r="W27" s="50"/>
      <c r="AC27" s="17"/>
      <c r="AI27" s="71"/>
      <c r="AJ27" s="5"/>
      <c r="AK27" s="71"/>
      <c r="AL27" s="11"/>
      <c r="AM27" s="118"/>
      <c r="AN27" s="119"/>
      <c r="AO27" s="71"/>
      <c r="BB27" s="4"/>
      <c r="BC27" s="4"/>
    </row>
    <row r="28" spans="1:72">
      <c r="B28" s="535" t="s">
        <v>65</v>
      </c>
      <c r="C28" s="536"/>
      <c r="D28" s="136"/>
      <c r="E28" s="137"/>
      <c r="F28" s="137"/>
      <c r="G28" s="137"/>
      <c r="H28" s="138"/>
      <c r="J28" s="111" t="s">
        <v>57</v>
      </c>
      <c r="K28" s="112">
        <f>L20/L21</f>
        <v>0.13880377305263156</v>
      </c>
      <c r="L28" s="113"/>
      <c r="M28" s="114">
        <f>M26/M4</f>
        <v>250.39615415095136</v>
      </c>
      <c r="O28" s="111" t="s">
        <v>57</v>
      </c>
      <c r="P28" s="113"/>
      <c r="Q28" s="113"/>
      <c r="R28" s="114">
        <f>R26/R4</f>
        <v>140.44290662707388</v>
      </c>
      <c r="T28" s="111" t="s">
        <v>57</v>
      </c>
      <c r="U28" s="113"/>
      <c r="V28" s="113"/>
      <c r="W28" s="114">
        <f>W26/W4</f>
        <v>100.64877829005073</v>
      </c>
      <c r="AC28" s="36"/>
      <c r="AI28" s="71"/>
      <c r="AJ28" s="5"/>
      <c r="AN28" s="124"/>
      <c r="AT28" s="17"/>
      <c r="AZ28" s="11"/>
      <c r="BA28" s="8"/>
      <c r="BB28" s="12"/>
      <c r="BC28" s="9"/>
      <c r="BD28" s="10"/>
      <c r="BE28" s="9"/>
      <c r="BF28" s="125"/>
      <c r="BG28" s="14"/>
      <c r="BH28" s="14"/>
      <c r="BI28" s="14"/>
      <c r="BJ28" s="14"/>
      <c r="BK28" s="14"/>
      <c r="BL28" s="14"/>
      <c r="BM28" s="14"/>
      <c r="BN28" s="14"/>
      <c r="BO28" s="5"/>
      <c r="BP28" s="5"/>
      <c r="BQ28" s="63"/>
      <c r="BR28" s="77"/>
      <c r="BS28" s="5"/>
    </row>
    <row r="29" spans="1:72">
      <c r="B29" s="51" t="s">
        <v>66</v>
      </c>
      <c r="C29" s="140">
        <f>'[4]T &amp; F,M &amp; G'!H89</f>
        <v>0.23105972742020292</v>
      </c>
      <c r="D29" s="74" t="s">
        <v>67</v>
      </c>
      <c r="E29" s="70"/>
      <c r="F29" s="71"/>
      <c r="G29" s="71"/>
      <c r="H29" s="72"/>
      <c r="J29" s="61" t="s">
        <v>59</v>
      </c>
      <c r="K29" s="115"/>
      <c r="L29" s="116"/>
      <c r="M29" s="117">
        <f>M28/6</f>
        <v>41.732692358491896</v>
      </c>
      <c r="O29" s="61" t="s">
        <v>59</v>
      </c>
      <c r="P29" s="115"/>
      <c r="Q29" s="116"/>
      <c r="R29" s="117">
        <f>R28/6</f>
        <v>23.407151104512312</v>
      </c>
      <c r="T29" s="61" t="s">
        <v>59</v>
      </c>
      <c r="U29" s="115"/>
      <c r="V29" s="116"/>
      <c r="W29" s="117">
        <f>W28/6</f>
        <v>16.77479638167512</v>
      </c>
      <c r="AC29" s="237"/>
      <c r="AI29" s="71"/>
      <c r="AJ29" s="94"/>
      <c r="AN29" s="4"/>
      <c r="AT29" s="11"/>
      <c r="AZ29" s="11"/>
      <c r="BA29" s="8"/>
      <c r="BB29" s="12"/>
      <c r="BC29" s="9"/>
      <c r="BD29" s="10"/>
      <c r="BE29" s="9"/>
      <c r="BF29" s="125"/>
      <c r="BG29" s="14"/>
      <c r="BH29" s="14"/>
      <c r="BI29" s="14"/>
      <c r="BJ29" s="14"/>
      <c r="BK29" s="14"/>
      <c r="BL29" s="14"/>
      <c r="BM29" s="14"/>
      <c r="BN29" s="14"/>
      <c r="BO29" s="5"/>
      <c r="BP29" s="5"/>
      <c r="BQ29" s="63"/>
      <c r="BR29" s="77"/>
      <c r="BS29" s="5"/>
      <c r="BT29" s="5"/>
    </row>
    <row r="30" spans="1:72" ht="15.75" thickBot="1">
      <c r="B30" s="51" t="s">
        <v>139</v>
      </c>
      <c r="C30" s="143">
        <f>[4]Analysis!H8</f>
        <v>10.819736304643023</v>
      </c>
      <c r="D30" s="144" t="s">
        <v>140</v>
      </c>
      <c r="E30" s="145"/>
      <c r="F30" s="146"/>
      <c r="G30" s="70"/>
      <c r="H30" s="72"/>
      <c r="J30" s="61" t="s">
        <v>60</v>
      </c>
      <c r="K30" s="115"/>
      <c r="L30" s="116"/>
      <c r="M30" s="123">
        <f>M29/4</f>
        <v>10.433173089622974</v>
      </c>
      <c r="O30" s="61" t="s">
        <v>60</v>
      </c>
      <c r="P30" s="115"/>
      <c r="Q30" s="116"/>
      <c r="R30" s="123">
        <f>R29/4</f>
        <v>5.8517877761280781</v>
      </c>
      <c r="T30" s="61" t="s">
        <v>60</v>
      </c>
      <c r="U30" s="115"/>
      <c r="V30" s="116"/>
      <c r="W30" s="123">
        <f>W29/4</f>
        <v>4.1936990954187801</v>
      </c>
      <c r="AJ30" s="71"/>
      <c r="AN30" s="139"/>
      <c r="AT30" s="11"/>
      <c r="AZ30" s="11"/>
      <c r="BA30" s="8"/>
      <c r="BB30" s="12"/>
      <c r="BC30" s="9"/>
      <c r="BD30" s="10"/>
      <c r="BE30" s="9"/>
      <c r="BF30" s="13"/>
      <c r="BG30" s="14"/>
      <c r="BH30" s="14"/>
      <c r="BI30" s="14"/>
      <c r="BJ30" s="14"/>
      <c r="BK30" s="14"/>
      <c r="BL30" s="14"/>
      <c r="BM30" s="14"/>
      <c r="BN30" s="14"/>
      <c r="BO30" s="5"/>
      <c r="BP30" s="5"/>
      <c r="BQ30" s="63"/>
      <c r="BR30" s="5"/>
      <c r="BS30" s="5"/>
      <c r="BT30" s="5"/>
    </row>
    <row r="31" spans="1:72" ht="18" customHeight="1" thickBot="1">
      <c r="B31" s="51" t="s">
        <v>141</v>
      </c>
      <c r="C31" s="143">
        <f>[4]Analysis!H9</f>
        <v>1.5672043275850356</v>
      </c>
      <c r="D31" s="144" t="s">
        <v>140</v>
      </c>
      <c r="E31" s="145"/>
      <c r="F31" s="146"/>
      <c r="G31" s="70"/>
      <c r="H31" s="72"/>
      <c r="J31" s="132" t="s">
        <v>61</v>
      </c>
      <c r="K31" s="133">
        <f>C38</f>
        <v>2.7235921972764018E-2</v>
      </c>
      <c r="L31" s="134"/>
      <c r="M31" s="135">
        <f>M30*(1+K31)</f>
        <v>10.717330177820287</v>
      </c>
      <c r="O31" s="132" t="s">
        <v>61</v>
      </c>
      <c r="P31" s="133">
        <f>C38</f>
        <v>2.7235921972764018E-2</v>
      </c>
      <c r="Q31" s="134"/>
      <c r="R31" s="135">
        <f>R30*(1+P31)</f>
        <v>6.0111666113998767</v>
      </c>
      <c r="T31" s="132" t="s">
        <v>61</v>
      </c>
      <c r="U31" s="133">
        <f>C38</f>
        <v>2.7235921972764018E-2</v>
      </c>
      <c r="V31" s="134"/>
      <c r="W31" s="135">
        <f>W30*(1+U31)</f>
        <v>4.307918356758857</v>
      </c>
      <c r="AN31" s="141"/>
      <c r="AT31" s="11"/>
      <c r="AZ31" s="141"/>
      <c r="BA31" s="8"/>
      <c r="BB31" s="12"/>
      <c r="BC31" s="9"/>
      <c r="BD31" s="10"/>
      <c r="BE31" s="9"/>
      <c r="BF31" s="142"/>
      <c r="BG31" s="14"/>
      <c r="BH31" s="14"/>
      <c r="BI31" s="14"/>
      <c r="BJ31" s="14"/>
      <c r="BK31" s="14"/>
      <c r="BL31" s="14"/>
      <c r="BM31" s="14"/>
      <c r="BN31" s="14"/>
      <c r="BO31" s="5"/>
      <c r="BP31" s="5"/>
      <c r="BQ31" s="63"/>
      <c r="BR31" s="5"/>
      <c r="BS31" s="5"/>
      <c r="BT31" s="5"/>
    </row>
    <row r="32" spans="1:72" ht="15.75" customHeight="1" thickBot="1">
      <c r="B32" s="51" t="s">
        <v>142</v>
      </c>
      <c r="C32" s="143">
        <f>[4]Analysis!H10</f>
        <v>5.0330903324475935</v>
      </c>
      <c r="D32" s="144" t="s">
        <v>140</v>
      </c>
      <c r="E32" s="145"/>
      <c r="F32" s="146"/>
      <c r="G32" s="70"/>
      <c r="H32" s="72"/>
      <c r="J32" s="37"/>
      <c r="K32" s="71"/>
      <c r="L32" s="71"/>
      <c r="M32" s="119"/>
      <c r="Y32" s="5"/>
      <c r="Z32" s="124"/>
      <c r="AA32" s="238"/>
      <c r="AB32" s="239"/>
      <c r="AN32" s="71"/>
      <c r="AT32" s="11"/>
      <c r="AZ32" s="141"/>
      <c r="BA32" s="8"/>
      <c r="BB32" s="12"/>
      <c r="BC32" s="9"/>
      <c r="BD32" s="10"/>
      <c r="BE32" s="9"/>
      <c r="BF32" s="147"/>
      <c r="BG32" s="14"/>
      <c r="BH32" s="14"/>
      <c r="BI32" s="14"/>
      <c r="BJ32" s="14"/>
      <c r="BK32" s="14"/>
      <c r="BL32" s="14"/>
      <c r="BM32" s="14"/>
      <c r="BN32" s="14"/>
      <c r="BO32" s="5"/>
      <c r="BP32" s="5"/>
      <c r="BQ32" s="63"/>
      <c r="BR32" s="94"/>
      <c r="BS32" s="5"/>
      <c r="BT32" s="5"/>
    </row>
    <row r="33" spans="2:61" ht="15.75" thickBot="1">
      <c r="B33" s="51" t="s">
        <v>143</v>
      </c>
      <c r="C33" s="143">
        <f>[4]Analysis!H11</f>
        <v>1.2367396133400166</v>
      </c>
      <c r="D33" s="144" t="s">
        <v>140</v>
      </c>
      <c r="E33" s="145"/>
      <c r="F33" s="146"/>
      <c r="G33" s="70"/>
      <c r="H33" s="72"/>
      <c r="J33" s="531" t="s">
        <v>70</v>
      </c>
      <c r="K33" s="532" t="s">
        <v>71</v>
      </c>
      <c r="L33" s="532"/>
      <c r="M33" s="533"/>
      <c r="O33" s="531" t="s">
        <v>62</v>
      </c>
      <c r="P33" s="532" t="s">
        <v>63</v>
      </c>
      <c r="Q33" s="532"/>
      <c r="R33" s="533"/>
      <c r="T33" s="531" t="s">
        <v>42</v>
      </c>
      <c r="U33" s="532" t="s">
        <v>64</v>
      </c>
      <c r="V33" s="532"/>
      <c r="W33" s="533"/>
      <c r="X33" s="11"/>
      <c r="Z33" s="12"/>
      <c r="AA33" s="9"/>
      <c r="AB33" s="10"/>
      <c r="AC33" s="141"/>
      <c r="AD33" s="13"/>
      <c r="AE33" s="14"/>
      <c r="AF33" s="14"/>
      <c r="AG33" s="14"/>
      <c r="AH33" s="14"/>
      <c r="AJ33" s="14"/>
      <c r="AK33" s="14"/>
      <c r="AL33" s="14"/>
      <c r="AM33" s="5"/>
      <c r="AN33" s="5"/>
      <c r="AO33" s="71"/>
      <c r="AP33" s="8"/>
      <c r="AQ33" s="12"/>
      <c r="AR33" s="9"/>
      <c r="AS33" s="10"/>
      <c r="AT33" s="9"/>
      <c r="AU33" s="147"/>
      <c r="AX33" s="14"/>
      <c r="AY33" s="14"/>
      <c r="AZ33" s="14"/>
      <c r="BA33" s="14"/>
      <c r="BB33" s="14"/>
      <c r="BC33" s="14"/>
      <c r="BD33" s="5"/>
      <c r="BE33" s="5"/>
      <c r="BF33" s="63"/>
      <c r="BG33" s="5"/>
      <c r="BH33" s="5"/>
      <c r="BI33" s="5"/>
    </row>
    <row r="34" spans="2:61">
      <c r="B34" s="51" t="s">
        <v>144</v>
      </c>
      <c r="C34" s="143">
        <f>[4]Analysis!H12</f>
        <v>1.1148160758876351</v>
      </c>
      <c r="D34" s="144" t="s">
        <v>140</v>
      </c>
      <c r="E34" s="145"/>
      <c r="F34" s="146"/>
      <c r="G34" s="70"/>
      <c r="H34" s="72"/>
      <c r="J34" s="19" t="s">
        <v>19</v>
      </c>
      <c r="K34" s="20"/>
      <c r="L34" s="21" t="s">
        <v>20</v>
      </c>
      <c r="M34" s="22">
        <f>$G$27</f>
        <v>5000</v>
      </c>
      <c r="O34" s="19" t="s">
        <v>19</v>
      </c>
      <c r="P34" s="20"/>
      <c r="Q34" s="21" t="s">
        <v>20</v>
      </c>
      <c r="R34" s="22">
        <f>$G$27</f>
        <v>5000</v>
      </c>
      <c r="T34" s="19" t="s">
        <v>19</v>
      </c>
      <c r="U34" s="20"/>
      <c r="V34" s="21" t="s">
        <v>20</v>
      </c>
      <c r="W34" s="22">
        <f>$G$27</f>
        <v>5000</v>
      </c>
      <c r="X34" s="11"/>
      <c r="Z34" s="12"/>
      <c r="AA34" s="9"/>
      <c r="AB34" s="10"/>
      <c r="AC34" s="141"/>
      <c r="AD34" s="13"/>
      <c r="AE34" s="14"/>
      <c r="AF34" s="14"/>
      <c r="AG34" s="14"/>
      <c r="AH34" s="14"/>
      <c r="AJ34" s="14"/>
      <c r="AK34" s="14"/>
      <c r="AL34" s="14"/>
      <c r="AM34" s="5"/>
      <c r="AN34" s="5"/>
      <c r="AO34" s="141"/>
      <c r="AP34" s="8"/>
      <c r="AQ34" s="12"/>
      <c r="AR34" s="9"/>
      <c r="AS34" s="10"/>
      <c r="AT34" s="9"/>
      <c r="AU34" s="149"/>
      <c r="AX34" s="14"/>
      <c r="AY34" s="14"/>
      <c r="AZ34" s="14"/>
      <c r="BA34" s="14"/>
      <c r="BB34" s="14"/>
      <c r="BC34" s="14"/>
      <c r="BD34" s="5"/>
      <c r="BE34" s="5"/>
      <c r="BF34" s="63"/>
      <c r="BG34" s="5"/>
      <c r="BH34" s="5"/>
      <c r="BI34" s="5"/>
    </row>
    <row r="35" spans="2:61" ht="15" customHeight="1">
      <c r="B35" s="51" t="s">
        <v>145</v>
      </c>
      <c r="C35" s="143">
        <f>[4]Analysis!H13</f>
        <v>1.6302160810224837</v>
      </c>
      <c r="D35" s="144" t="s">
        <v>140</v>
      </c>
      <c r="E35" s="145"/>
      <c r="F35" s="146"/>
      <c r="G35" s="70"/>
      <c r="H35" s="72"/>
      <c r="J35" s="26"/>
      <c r="K35" s="27" t="s">
        <v>27</v>
      </c>
      <c r="L35" s="28" t="s">
        <v>28</v>
      </c>
      <c r="M35" s="29" t="s">
        <v>29</v>
      </c>
      <c r="O35" s="26"/>
      <c r="P35" s="27" t="s">
        <v>27</v>
      </c>
      <c r="Q35" s="28" t="s">
        <v>28</v>
      </c>
      <c r="R35" s="29" t="s">
        <v>29</v>
      </c>
      <c r="T35" s="26"/>
      <c r="U35" s="27" t="s">
        <v>27</v>
      </c>
      <c r="V35" s="28" t="s">
        <v>28</v>
      </c>
      <c r="W35" s="29" t="s">
        <v>29</v>
      </c>
      <c r="X35" s="11"/>
      <c r="Z35" s="12"/>
      <c r="AA35" s="9"/>
      <c r="AB35" s="10"/>
      <c r="AC35" s="141"/>
      <c r="AD35" s="13"/>
      <c r="AE35" s="14"/>
      <c r="AF35" s="14"/>
      <c r="AG35" s="14"/>
      <c r="AH35" s="14"/>
      <c r="AJ35" s="14"/>
      <c r="AK35" s="14"/>
      <c r="AL35" s="14"/>
      <c r="AM35" s="5"/>
      <c r="AN35" s="5"/>
      <c r="AO35" s="141"/>
      <c r="AP35" s="8"/>
      <c r="AQ35" s="12"/>
      <c r="AR35" s="9"/>
      <c r="AS35" s="10"/>
      <c r="AT35" s="9"/>
      <c r="AU35" s="151"/>
      <c r="AX35" s="14"/>
      <c r="AY35" s="14"/>
      <c r="AZ35" s="14"/>
      <c r="BA35" s="14"/>
      <c r="BB35" s="14"/>
      <c r="BC35" s="14"/>
      <c r="BD35" s="5"/>
      <c r="BE35" s="5"/>
      <c r="BF35" s="63"/>
      <c r="BG35" s="5"/>
      <c r="BH35" s="5"/>
      <c r="BI35" s="5"/>
    </row>
    <row r="36" spans="2:61">
      <c r="B36" s="51" t="s">
        <v>146</v>
      </c>
      <c r="C36" s="143">
        <f>[4]Analysis!H14</f>
        <v>3.4494472650742094</v>
      </c>
      <c r="D36" s="144" t="s">
        <v>147</v>
      </c>
      <c r="E36" s="145"/>
      <c r="F36" s="146"/>
      <c r="G36" s="70"/>
      <c r="H36" s="72"/>
      <c r="J36" s="32" t="str">
        <f t="shared" ref="J36:K38" si="14">B17</f>
        <v>Management</v>
      </c>
      <c r="K36" s="33">
        <f t="shared" si="14"/>
        <v>56409.608617450482</v>
      </c>
      <c r="L36" s="34">
        <f>F21</f>
        <v>0.5</v>
      </c>
      <c r="M36" s="35">
        <f>K36*L36</f>
        <v>28204.804308725241</v>
      </c>
      <c r="O36" s="32" t="str">
        <f t="shared" ref="O36:P38" si="15">B17</f>
        <v>Management</v>
      </c>
      <c r="P36" s="33">
        <f t="shared" si="15"/>
        <v>56409.608617450482</v>
      </c>
      <c r="Q36" s="34">
        <f>G21</f>
        <v>0.5</v>
      </c>
      <c r="R36" s="35">
        <f>P36*Q36</f>
        <v>28204.804308725241</v>
      </c>
      <c r="T36" s="32" t="str">
        <f t="shared" ref="T36:U38" si="16">B17</f>
        <v>Management</v>
      </c>
      <c r="U36" s="33">
        <f t="shared" si="16"/>
        <v>56409.608617450482</v>
      </c>
      <c r="V36" s="34">
        <f>H21</f>
        <v>0.25</v>
      </c>
      <c r="W36" s="35">
        <f>U36*V36</f>
        <v>14102.40215436262</v>
      </c>
      <c r="X36" s="11"/>
      <c r="Z36" s="12"/>
      <c r="AA36" s="9"/>
      <c r="AB36" s="10"/>
      <c r="AC36" s="141"/>
      <c r="AD36" s="13"/>
      <c r="AE36" s="14"/>
      <c r="AF36" s="14"/>
      <c r="AG36" s="14"/>
      <c r="AH36" s="14"/>
      <c r="AJ36" s="14"/>
      <c r="AK36" s="14"/>
      <c r="AL36" s="14"/>
      <c r="AM36" s="5"/>
      <c r="AN36" s="5"/>
      <c r="AO36" s="141"/>
      <c r="AP36" s="8"/>
      <c r="AQ36" s="12"/>
      <c r="AR36" s="9"/>
      <c r="AS36" s="10"/>
      <c r="AT36" s="9"/>
      <c r="AU36" s="140"/>
      <c r="AX36" s="14"/>
      <c r="AY36" s="14"/>
      <c r="AZ36" s="14"/>
      <c r="BA36" s="14"/>
      <c r="BB36" s="14"/>
      <c r="BC36" s="14"/>
      <c r="BD36" s="5"/>
      <c r="BE36" s="63"/>
      <c r="BF36" s="5"/>
      <c r="BG36" s="5"/>
      <c r="BH36" s="5"/>
    </row>
    <row r="37" spans="2:61">
      <c r="B37" s="51" t="s">
        <v>72</v>
      </c>
      <c r="C37" s="140">
        <f>'[4]T &amp; F,M &amp; G'!M89</f>
        <v>0.12647885873312933</v>
      </c>
      <c r="D37" s="69" t="s">
        <v>67</v>
      </c>
      <c r="E37" s="152"/>
      <c r="F37" s="69"/>
      <c r="G37" s="81"/>
      <c r="H37" s="153"/>
      <c r="J37" s="150" t="str">
        <f t="shared" si="14"/>
        <v>Direct Care</v>
      </c>
      <c r="K37" s="33">
        <f t="shared" si="14"/>
        <v>31321.164534565924</v>
      </c>
      <c r="L37" s="34">
        <f>F22</f>
        <v>5.2307692307692308</v>
      </c>
      <c r="M37" s="35">
        <f>K37*L37</f>
        <v>163833.7837192679</v>
      </c>
      <c r="O37" s="32" t="str">
        <f t="shared" si="15"/>
        <v>Direct Care</v>
      </c>
      <c r="P37" s="33">
        <f t="shared" si="15"/>
        <v>31321.164534565924</v>
      </c>
      <c r="Q37" s="34">
        <f>G22</f>
        <v>4.1846153846153848</v>
      </c>
      <c r="R37" s="35">
        <f>P37*Q37</f>
        <v>131067.02697541434</v>
      </c>
      <c r="T37" s="32" t="str">
        <f t="shared" si="16"/>
        <v>Direct Care</v>
      </c>
      <c r="U37" s="33">
        <f t="shared" si="16"/>
        <v>31321.164534565924</v>
      </c>
      <c r="V37" s="34">
        <f>H22</f>
        <v>3.4</v>
      </c>
      <c r="W37" s="35">
        <f>U37*V37</f>
        <v>106491.95941752414</v>
      </c>
      <c r="X37" s="11"/>
      <c r="Z37" s="12"/>
      <c r="AA37" s="9"/>
      <c r="AB37" s="10"/>
      <c r="AC37" s="141"/>
      <c r="AD37" s="13"/>
      <c r="AE37" s="14"/>
      <c r="AF37" s="14"/>
      <c r="AG37" s="14"/>
      <c r="AH37" s="14"/>
      <c r="AJ37" s="14"/>
      <c r="AK37" s="14"/>
      <c r="AL37" s="14"/>
      <c r="AM37" s="5"/>
      <c r="AN37" s="5"/>
      <c r="AO37" s="141"/>
      <c r="AP37" s="8"/>
      <c r="AQ37" s="12"/>
      <c r="AR37" s="9"/>
      <c r="AS37" s="10"/>
      <c r="AT37" s="9"/>
      <c r="AU37" s="154"/>
      <c r="AX37" s="14"/>
      <c r="AY37" s="14"/>
      <c r="AZ37" s="14"/>
      <c r="BA37" s="14"/>
      <c r="BB37" s="14"/>
      <c r="BC37" s="14"/>
      <c r="BD37" s="5"/>
      <c r="BE37" s="63"/>
      <c r="BF37" s="5"/>
      <c r="BG37" s="5"/>
      <c r="BH37" s="5"/>
    </row>
    <row r="38" spans="2:61" ht="15.75" thickBot="1">
      <c r="B38" s="155" t="s">
        <v>73</v>
      </c>
      <c r="C38" s="240">
        <f>'[4]Spring CAF'!BK27</f>
        <v>2.7235921972764018E-2</v>
      </c>
      <c r="D38" s="156" t="s">
        <v>74</v>
      </c>
      <c r="E38" s="157"/>
      <c r="F38" s="158"/>
      <c r="G38" s="159"/>
      <c r="H38" s="160"/>
      <c r="J38" s="32" t="str">
        <f t="shared" si="14"/>
        <v>Clerical Support</v>
      </c>
      <c r="K38" s="33">
        <f t="shared" si="14"/>
        <v>31321.164534565924</v>
      </c>
      <c r="L38" s="34">
        <f>F23</f>
        <v>0.5</v>
      </c>
      <c r="M38" s="35">
        <f>K38*L38</f>
        <v>15660.582267282962</v>
      </c>
      <c r="O38" s="32" t="str">
        <f t="shared" si="15"/>
        <v>Clerical Support</v>
      </c>
      <c r="P38" s="33">
        <f t="shared" si="15"/>
        <v>31321.164534565924</v>
      </c>
      <c r="Q38" s="34">
        <f>G23</f>
        <v>0.5</v>
      </c>
      <c r="R38" s="35">
        <f>P38*Q38</f>
        <v>15660.582267282962</v>
      </c>
      <c r="T38" s="32" t="str">
        <f t="shared" si="16"/>
        <v>Clerical Support</v>
      </c>
      <c r="U38" s="33">
        <f t="shared" si="16"/>
        <v>31321.164534565924</v>
      </c>
      <c r="V38" s="34">
        <f>H23</f>
        <v>0.2</v>
      </c>
      <c r="W38" s="35">
        <f>U38*V38</f>
        <v>6264.2329069131847</v>
      </c>
      <c r="X38" s="11"/>
      <c r="Z38" s="12"/>
      <c r="AA38" s="9"/>
      <c r="AB38" s="10"/>
      <c r="AC38" s="141"/>
      <c r="AD38" s="13"/>
      <c r="AE38" s="14"/>
      <c r="AF38" s="14"/>
      <c r="AG38" s="14"/>
      <c r="AH38" s="14"/>
      <c r="AJ38" s="14"/>
      <c r="AK38" s="14"/>
      <c r="AL38" s="14"/>
      <c r="AM38" s="5"/>
      <c r="AN38" s="5"/>
      <c r="AO38" s="141"/>
      <c r="AP38" s="8"/>
      <c r="AQ38" s="12"/>
      <c r="AR38" s="9"/>
      <c r="AS38" s="10"/>
      <c r="AT38" s="9"/>
      <c r="AU38" s="154"/>
      <c r="AX38" s="14"/>
      <c r="AY38" s="14"/>
      <c r="AZ38" s="14"/>
      <c r="BA38" s="14"/>
      <c r="BB38" s="14"/>
      <c r="BC38" s="14"/>
      <c r="BD38" s="5"/>
      <c r="BE38" s="63"/>
      <c r="BF38" s="5"/>
      <c r="BG38" s="5"/>
      <c r="BH38" s="5"/>
    </row>
    <row r="39" spans="2:61">
      <c r="B39" s="5"/>
      <c r="C39" s="161"/>
      <c r="D39" s="5"/>
      <c r="E39" s="5"/>
      <c r="F39" s="71"/>
      <c r="J39" s="46" t="s">
        <v>37</v>
      </c>
      <c r="K39" s="47"/>
      <c r="L39" s="48">
        <f>SUM(L36:L38)</f>
        <v>6.2307692307692308</v>
      </c>
      <c r="M39" s="49">
        <f>SUM(M36:M38)</f>
        <v>207699.1702952761</v>
      </c>
      <c r="O39" s="46" t="s">
        <v>37</v>
      </c>
      <c r="P39" s="47"/>
      <c r="Q39" s="48">
        <f>SUM(Q36:Q38)</f>
        <v>5.1846153846153848</v>
      </c>
      <c r="R39" s="49">
        <f>SUM(R36:R38)</f>
        <v>174932.41355142253</v>
      </c>
      <c r="T39" s="46" t="s">
        <v>37</v>
      </c>
      <c r="U39" s="47"/>
      <c r="V39" s="48">
        <f>SUM(V36:V38)</f>
        <v>3.85</v>
      </c>
      <c r="W39" s="49">
        <f>SUM(W36:W38)</f>
        <v>126858.59447879993</v>
      </c>
      <c r="X39" s="11"/>
      <c r="Z39" s="12"/>
      <c r="AA39" s="9"/>
      <c r="AB39" s="10"/>
      <c r="AC39" s="141"/>
      <c r="AD39" s="13"/>
      <c r="AE39" s="14"/>
      <c r="AF39" s="14"/>
      <c r="AG39" s="14"/>
      <c r="AH39" s="14"/>
      <c r="AJ39" s="14"/>
      <c r="AK39" s="14"/>
      <c r="AL39" s="14"/>
      <c r="AM39" s="5"/>
      <c r="AN39" s="5"/>
      <c r="AO39" s="141"/>
      <c r="AP39" s="8"/>
      <c r="AQ39" s="12"/>
      <c r="AR39" s="9"/>
      <c r="AS39" s="10"/>
      <c r="AT39" s="9"/>
      <c r="AU39" s="154"/>
      <c r="AX39" s="14"/>
      <c r="AY39" s="14"/>
      <c r="AZ39" s="14"/>
      <c r="BA39" s="14"/>
      <c r="BB39" s="14"/>
      <c r="BC39" s="14"/>
      <c r="BD39" s="5"/>
      <c r="BE39" s="63"/>
      <c r="BF39" s="5"/>
      <c r="BG39" s="5"/>
      <c r="BH39" s="5"/>
    </row>
    <row r="40" spans="2:61">
      <c r="B40" s="241" t="s">
        <v>75</v>
      </c>
      <c r="C40" s="242"/>
      <c r="D40" s="243"/>
      <c r="E40" s="244"/>
      <c r="F40" s="245"/>
      <c r="G40" s="246"/>
      <c r="H40" s="247"/>
      <c r="J40" s="26"/>
      <c r="K40" s="27"/>
      <c r="L40" s="37"/>
      <c r="M40" s="50"/>
      <c r="O40" s="26"/>
      <c r="P40" s="27"/>
      <c r="Q40" s="37"/>
      <c r="R40" s="50"/>
      <c r="T40" s="26"/>
      <c r="U40" s="27"/>
      <c r="V40" s="37"/>
      <c r="W40" s="50"/>
      <c r="X40" s="11"/>
      <c r="Z40" s="12"/>
      <c r="AA40" s="9"/>
      <c r="AB40" s="10"/>
      <c r="AC40" s="141"/>
      <c r="AD40" s="13"/>
      <c r="AE40" s="14"/>
      <c r="AF40" s="14"/>
      <c r="AG40" s="14"/>
      <c r="AH40" s="14"/>
      <c r="AJ40" s="14"/>
      <c r="AK40" s="14"/>
      <c r="AL40" s="14"/>
      <c r="AM40" s="5"/>
      <c r="AN40" s="5"/>
      <c r="AO40" s="141"/>
      <c r="AP40" s="8"/>
      <c r="AQ40" s="12"/>
      <c r="AR40" s="9"/>
      <c r="AS40" s="10"/>
      <c r="AT40" s="9"/>
      <c r="AU40" s="154"/>
      <c r="AX40" s="14"/>
      <c r="AY40" s="14"/>
      <c r="AZ40" s="14"/>
      <c r="BA40" s="14"/>
      <c r="BB40" s="14"/>
      <c r="BC40" s="14"/>
      <c r="BD40" s="5"/>
      <c r="BE40" s="63"/>
      <c r="BF40" s="5"/>
      <c r="BG40" s="5"/>
      <c r="BH40" s="5"/>
    </row>
    <row r="41" spans="2:61">
      <c r="B41" s="248" t="s">
        <v>76</v>
      </c>
      <c r="C41" s="249"/>
      <c r="D41" s="37"/>
      <c r="E41" s="250"/>
      <c r="F41" s="12"/>
      <c r="G41" s="251"/>
      <c r="H41" s="252"/>
      <c r="J41" s="88" t="str">
        <f>B29</f>
        <v>Tax &amp; Fringe</v>
      </c>
      <c r="K41" s="52">
        <f>$C$29</f>
        <v>0.23105972742020292</v>
      </c>
      <c r="L41" s="53"/>
      <c r="M41" s="35">
        <f>K41*M39</f>
        <v>47990.9136738288</v>
      </c>
      <c r="O41" s="51" t="str">
        <f>B29</f>
        <v>Tax &amp; Fringe</v>
      </c>
      <c r="P41" s="52">
        <f>$C$29</f>
        <v>0.23105972742020292</v>
      </c>
      <c r="Q41" s="53"/>
      <c r="R41" s="35">
        <f>P41*R39</f>
        <v>40419.835792149905</v>
      </c>
      <c r="T41" s="51" t="s">
        <v>40</v>
      </c>
      <c r="U41" s="52">
        <f>$C$29</f>
        <v>0.23105972742020292</v>
      </c>
      <c r="V41" s="53"/>
      <c r="W41" s="35">
        <f>U41*W39</f>
        <v>29311.912261181573</v>
      </c>
      <c r="X41" s="11"/>
      <c r="Z41" s="12"/>
      <c r="AA41" s="9"/>
      <c r="AB41" s="10"/>
      <c r="AC41" s="141"/>
      <c r="AD41" s="13"/>
      <c r="AE41" s="14"/>
      <c r="AF41" s="14"/>
      <c r="AG41" s="14"/>
      <c r="AH41" s="14"/>
      <c r="AJ41" s="14"/>
      <c r="AK41" s="14"/>
      <c r="AL41" s="14"/>
      <c r="AM41" s="5"/>
      <c r="AN41" s="5"/>
      <c r="AO41" s="141"/>
      <c r="AP41" s="8"/>
      <c r="AQ41" s="12"/>
      <c r="AR41" s="9"/>
      <c r="AS41" s="10"/>
      <c r="AT41" s="9"/>
      <c r="AU41" s="170"/>
      <c r="AX41" s="14"/>
      <c r="AY41" s="14"/>
      <c r="AZ41" s="14"/>
      <c r="BA41" s="14"/>
      <c r="BB41" s="14"/>
      <c r="BC41" s="14"/>
      <c r="BD41" s="5"/>
      <c r="BE41" s="63"/>
      <c r="BF41" s="5"/>
      <c r="BG41" s="5"/>
      <c r="BH41" s="5"/>
    </row>
    <row r="42" spans="2:61" ht="15.75" thickBot="1">
      <c r="B42" s="248" t="s">
        <v>77</v>
      </c>
      <c r="C42" s="249"/>
      <c r="D42" s="37"/>
      <c r="E42" s="250"/>
      <c r="F42" s="146"/>
      <c r="G42" s="253"/>
      <c r="H42" s="254"/>
      <c r="J42" s="54" t="s">
        <v>41</v>
      </c>
      <c r="K42" s="55"/>
      <c r="L42" s="56"/>
      <c r="M42" s="57">
        <f>M41+M39</f>
        <v>255690.08396910489</v>
      </c>
      <c r="O42" s="54" t="s">
        <v>41</v>
      </c>
      <c r="P42" s="55"/>
      <c r="Q42" s="56"/>
      <c r="R42" s="57">
        <f>R41+R39</f>
        <v>215352.24934357245</v>
      </c>
      <c r="T42" s="54" t="s">
        <v>41</v>
      </c>
      <c r="U42" s="55"/>
      <c r="V42" s="56"/>
      <c r="W42" s="57">
        <f>W41+W39</f>
        <v>156170.5067399815</v>
      </c>
      <c r="X42" s="11"/>
      <c r="Z42" s="12"/>
      <c r="AA42" s="9"/>
      <c r="AB42" s="10"/>
      <c r="AC42" s="141"/>
      <c r="AD42" s="13"/>
      <c r="AE42" s="14"/>
      <c r="AF42" s="14"/>
      <c r="AG42" s="14"/>
      <c r="AH42" s="14"/>
      <c r="AJ42" s="14"/>
      <c r="AK42" s="14"/>
      <c r="AL42" s="14"/>
      <c r="AM42" s="5"/>
      <c r="AN42" s="5"/>
      <c r="AO42" s="141"/>
      <c r="AP42" s="8"/>
      <c r="AQ42" s="12"/>
      <c r="AR42" s="9"/>
      <c r="AS42" s="10"/>
      <c r="AT42" s="9"/>
      <c r="AU42" s="172"/>
      <c r="AX42" s="14"/>
      <c r="AY42" s="14"/>
      <c r="AZ42" s="14"/>
      <c r="BA42" s="14"/>
      <c r="BB42" s="14"/>
      <c r="BC42" s="14"/>
      <c r="BD42" s="5"/>
      <c r="BE42" s="5"/>
      <c r="BF42" s="63"/>
      <c r="BG42" s="5"/>
      <c r="BH42" s="5"/>
      <c r="BI42" s="5"/>
    </row>
    <row r="43" spans="2:61" ht="15.75" thickTop="1">
      <c r="B43" s="248" t="s">
        <v>78</v>
      </c>
      <c r="C43" s="255"/>
      <c r="D43" s="250"/>
      <c r="E43" s="37"/>
      <c r="F43" s="146"/>
      <c r="G43" s="253"/>
      <c r="H43" s="254"/>
      <c r="J43" s="61"/>
      <c r="K43" s="62"/>
      <c r="L43" s="28" t="s">
        <v>43</v>
      </c>
      <c r="M43" s="35"/>
      <c r="O43" s="61"/>
      <c r="P43" s="62"/>
      <c r="Q43" s="28" t="s">
        <v>43</v>
      </c>
      <c r="R43" s="35"/>
      <c r="T43" s="61"/>
      <c r="U43" s="62"/>
      <c r="V43" s="28" t="s">
        <v>43</v>
      </c>
      <c r="W43" s="35"/>
      <c r="X43" s="11"/>
      <c r="Z43" s="12"/>
      <c r="AA43" s="9"/>
      <c r="AB43" s="10"/>
      <c r="AC43" s="141"/>
      <c r="AD43" s="13"/>
      <c r="AE43" s="14"/>
      <c r="AF43" s="14"/>
      <c r="AG43" s="14"/>
      <c r="AH43" s="14"/>
      <c r="AJ43" s="14"/>
      <c r="AK43" s="14"/>
      <c r="AL43" s="14"/>
      <c r="AM43" s="5"/>
      <c r="AN43" s="5"/>
      <c r="AO43" s="141"/>
      <c r="AP43" s="8"/>
      <c r="AQ43" s="12"/>
      <c r="AR43" s="9"/>
      <c r="AS43" s="10"/>
      <c r="AT43" s="9"/>
      <c r="AU43" s="174"/>
      <c r="AX43" s="14"/>
      <c r="AY43" s="14"/>
      <c r="AZ43" s="14"/>
      <c r="BA43" s="14"/>
      <c r="BB43" s="14"/>
      <c r="BC43" s="14"/>
      <c r="BD43" s="5"/>
      <c r="BE43" s="5"/>
      <c r="BF43" s="63"/>
      <c r="BG43" s="5"/>
      <c r="BH43" s="5"/>
      <c r="BI43" s="5"/>
    </row>
    <row r="44" spans="2:61">
      <c r="B44" s="256" t="s">
        <v>47</v>
      </c>
      <c r="C44" s="257" t="s">
        <v>79</v>
      </c>
      <c r="D44" s="258" t="s">
        <v>80</v>
      </c>
      <c r="E44" s="37"/>
      <c r="F44" s="71"/>
      <c r="G44" s="11"/>
      <c r="H44" s="259"/>
      <c r="J44" s="32" t="str">
        <f t="shared" ref="J44:J50" si="17">B30</f>
        <v xml:space="preserve">Occupancy (per unit) </v>
      </c>
      <c r="K44" s="62"/>
      <c r="L44" s="65">
        <f t="shared" ref="L44:L49" si="18">C30</f>
        <v>10.819736304643023</v>
      </c>
      <c r="M44" s="35">
        <f t="shared" ref="M44:M50" si="19">L44*$M$34</f>
        <v>54098.681523215113</v>
      </c>
      <c r="O44" s="32" t="str">
        <f t="shared" ref="O44:O50" si="20">B30</f>
        <v xml:space="preserve">Occupancy (per unit) </v>
      </c>
      <c r="P44" s="62"/>
      <c r="Q44" s="65">
        <f t="shared" ref="Q44:Q49" si="21">C30</f>
        <v>10.819736304643023</v>
      </c>
      <c r="R44" s="35">
        <f t="shared" ref="R44:R50" si="22">Q44*$R$34</f>
        <v>54098.681523215113</v>
      </c>
      <c r="T44" s="32" t="str">
        <f t="shared" ref="T44:T50" si="23">B30</f>
        <v xml:space="preserve">Occupancy (per unit) </v>
      </c>
      <c r="U44" s="62"/>
      <c r="V44" s="65">
        <f t="shared" ref="V44:V49" si="24">C30</f>
        <v>10.819736304643023</v>
      </c>
      <c r="W44" s="35">
        <f>V44*$W$34</f>
        <v>54098.681523215113</v>
      </c>
      <c r="X44" s="11"/>
      <c r="Z44" s="12"/>
      <c r="AA44" s="9"/>
      <c r="AB44" s="10"/>
      <c r="AC44" s="141"/>
      <c r="AD44" s="13"/>
      <c r="AE44" s="14"/>
      <c r="AF44" s="14"/>
      <c r="AG44" s="14"/>
      <c r="AH44" s="14"/>
      <c r="AJ44" s="14"/>
      <c r="AK44" s="14"/>
      <c r="AL44" s="14"/>
      <c r="AM44" s="5"/>
      <c r="AN44" s="5"/>
      <c r="AO44" s="141"/>
      <c r="AP44" s="8"/>
      <c r="AQ44" s="12"/>
      <c r="AR44" s="9"/>
      <c r="AS44" s="10"/>
      <c r="AT44" s="9"/>
      <c r="AU44" s="174"/>
      <c r="AX44" s="14"/>
      <c r="AY44" s="14"/>
      <c r="AZ44" s="14"/>
      <c r="BA44" s="14"/>
      <c r="BB44" s="14"/>
      <c r="BC44" s="14"/>
      <c r="BD44" s="5"/>
      <c r="BE44" s="5"/>
      <c r="BF44" s="63"/>
      <c r="BG44" s="5"/>
      <c r="BH44" s="5"/>
      <c r="BI44" s="5"/>
    </row>
    <row r="45" spans="2:61">
      <c r="B45" s="256" t="s">
        <v>48</v>
      </c>
      <c r="C45" s="257" t="s">
        <v>79</v>
      </c>
      <c r="D45" s="258" t="s">
        <v>81</v>
      </c>
      <c r="E45" s="37"/>
      <c r="F45" s="71"/>
      <c r="G45" s="11"/>
      <c r="H45" s="259"/>
      <c r="J45" s="32" t="str">
        <f t="shared" si="17"/>
        <v>Consultant/Temp Help (per unit)</v>
      </c>
      <c r="K45" s="62"/>
      <c r="L45" s="65">
        <f t="shared" si="18"/>
        <v>1.5672043275850356</v>
      </c>
      <c r="M45" s="35">
        <f t="shared" si="19"/>
        <v>7836.0216379251779</v>
      </c>
      <c r="O45" s="32" t="str">
        <f t="shared" si="20"/>
        <v>Consultant/Temp Help (per unit)</v>
      </c>
      <c r="P45" s="62"/>
      <c r="Q45" s="65">
        <f t="shared" si="21"/>
        <v>1.5672043275850356</v>
      </c>
      <c r="R45" s="35">
        <f t="shared" si="22"/>
        <v>7836.0216379251779</v>
      </c>
      <c r="T45" s="32" t="str">
        <f t="shared" si="23"/>
        <v>Consultant/Temp Help (per unit)</v>
      </c>
      <c r="U45" s="62"/>
      <c r="V45" s="65">
        <f t="shared" si="24"/>
        <v>1.5672043275850356</v>
      </c>
      <c r="W45" s="35">
        <f t="shared" ref="W45:W50" si="25">V45*$M$34</f>
        <v>7836.0216379251779</v>
      </c>
      <c r="X45" s="11"/>
      <c r="Z45" s="12"/>
      <c r="AA45" s="9"/>
      <c r="AB45" s="10"/>
      <c r="AC45" s="141"/>
      <c r="AD45" s="13"/>
      <c r="AE45" s="14"/>
      <c r="AF45" s="14"/>
      <c r="AG45" s="14"/>
      <c r="AH45" s="14"/>
      <c r="AJ45" s="14"/>
      <c r="AK45" s="14"/>
      <c r="AL45" s="14"/>
      <c r="AM45" s="5"/>
      <c r="AN45" s="5"/>
      <c r="AO45" s="141"/>
      <c r="AP45" s="8"/>
      <c r="AQ45" s="12"/>
      <c r="AR45" s="9"/>
      <c r="AS45" s="10"/>
      <c r="AT45" s="9"/>
      <c r="AU45" s="174"/>
      <c r="AX45" s="14"/>
      <c r="AY45" s="14"/>
      <c r="AZ45" s="14"/>
      <c r="BA45" s="14"/>
      <c r="BB45" s="14"/>
      <c r="BC45" s="14"/>
      <c r="BD45" s="5"/>
      <c r="BE45" s="5"/>
      <c r="BF45" s="63"/>
      <c r="BG45" s="5"/>
      <c r="BH45" s="5"/>
      <c r="BI45" s="5"/>
    </row>
    <row r="46" spans="2:61">
      <c r="B46" s="260"/>
      <c r="C46" s="257" t="s">
        <v>82</v>
      </c>
      <c r="D46" s="258" t="s">
        <v>83</v>
      </c>
      <c r="E46" s="37"/>
      <c r="F46" s="71"/>
      <c r="G46" s="11"/>
      <c r="H46" s="259"/>
      <c r="J46" s="32" t="str">
        <f t="shared" si="17"/>
        <v>Direct Client Expense (per unit)</v>
      </c>
      <c r="K46" s="62"/>
      <c r="L46" s="65">
        <f t="shared" si="18"/>
        <v>5.0330903324475935</v>
      </c>
      <c r="M46" s="35">
        <f t="shared" si="19"/>
        <v>25165.451662237967</v>
      </c>
      <c r="O46" s="32" t="str">
        <f t="shared" si="20"/>
        <v>Direct Client Expense (per unit)</v>
      </c>
      <c r="P46" s="62"/>
      <c r="Q46" s="65">
        <f t="shared" si="21"/>
        <v>5.0330903324475935</v>
      </c>
      <c r="R46" s="35">
        <f t="shared" si="22"/>
        <v>25165.451662237967</v>
      </c>
      <c r="T46" s="32" t="str">
        <f t="shared" si="23"/>
        <v>Direct Client Expense (per unit)</v>
      </c>
      <c r="U46" s="62"/>
      <c r="V46" s="65">
        <f t="shared" si="24"/>
        <v>5.0330903324475935</v>
      </c>
      <c r="W46" s="35">
        <f t="shared" si="25"/>
        <v>25165.451662237967</v>
      </c>
      <c r="X46" s="11"/>
      <c r="Z46" s="12"/>
      <c r="AA46" s="9"/>
      <c r="AB46" s="10"/>
      <c r="AC46" s="141"/>
      <c r="AD46" s="13"/>
      <c r="AE46" s="14"/>
      <c r="AF46" s="14"/>
      <c r="AG46" s="14"/>
      <c r="AH46" s="14"/>
      <c r="AJ46" s="14"/>
      <c r="AK46" s="14"/>
      <c r="AL46" s="14"/>
      <c r="AM46" s="5"/>
      <c r="AN46" s="5"/>
      <c r="AO46" s="141"/>
      <c r="AP46" s="8"/>
      <c r="AQ46" s="12"/>
      <c r="AR46" s="9"/>
      <c r="AS46" s="10"/>
      <c r="AT46" s="9"/>
      <c r="AU46" s="180"/>
      <c r="AX46" s="14"/>
      <c r="AY46" s="14"/>
      <c r="AZ46" s="14"/>
      <c r="BA46" s="14"/>
      <c r="BB46" s="14"/>
      <c r="BC46" s="14"/>
      <c r="BD46" s="5"/>
      <c r="BE46" s="5"/>
      <c r="BF46" s="63"/>
      <c r="BG46" s="5"/>
      <c r="BH46" s="5"/>
      <c r="BI46" s="5"/>
    </row>
    <row r="47" spans="2:61">
      <c r="B47" s="260"/>
      <c r="C47" s="257" t="s">
        <v>84</v>
      </c>
      <c r="D47" s="258" t="s">
        <v>85</v>
      </c>
      <c r="E47" s="37"/>
      <c r="F47" s="71"/>
      <c r="G47" s="11"/>
      <c r="H47" s="259"/>
      <c r="J47" s="32" t="str">
        <f t="shared" si="17"/>
        <v>Supplies (per unit)</v>
      </c>
      <c r="K47" s="62"/>
      <c r="L47" s="65">
        <f t="shared" si="18"/>
        <v>1.2367396133400166</v>
      </c>
      <c r="M47" s="35">
        <f t="shared" si="19"/>
        <v>6183.6980667000826</v>
      </c>
      <c r="O47" s="32" t="str">
        <f t="shared" si="20"/>
        <v>Supplies (per unit)</v>
      </c>
      <c r="P47" s="62"/>
      <c r="Q47" s="65">
        <f t="shared" si="21"/>
        <v>1.2367396133400166</v>
      </c>
      <c r="R47" s="35">
        <f t="shared" si="22"/>
        <v>6183.6980667000826</v>
      </c>
      <c r="T47" s="32" t="str">
        <f t="shared" si="23"/>
        <v>Supplies (per unit)</v>
      </c>
      <c r="U47" s="62"/>
      <c r="V47" s="65">
        <f t="shared" si="24"/>
        <v>1.2367396133400166</v>
      </c>
      <c r="W47" s="35">
        <f t="shared" si="25"/>
        <v>6183.6980667000826</v>
      </c>
      <c r="X47" s="11"/>
      <c r="Z47" s="12"/>
      <c r="AA47" s="9"/>
      <c r="AB47" s="10"/>
      <c r="AC47" s="71"/>
      <c r="AD47" s="13"/>
      <c r="AE47" s="14"/>
      <c r="AF47" s="14"/>
      <c r="AG47" s="14"/>
      <c r="AH47" s="14"/>
      <c r="AJ47" s="14"/>
      <c r="AK47" s="14"/>
      <c r="AL47" s="14"/>
      <c r="AM47" s="5"/>
      <c r="AN47" s="5"/>
      <c r="AO47" s="141"/>
      <c r="AP47" s="8"/>
      <c r="AQ47" s="12"/>
      <c r="AR47" s="9"/>
      <c r="AS47" s="10"/>
      <c r="AT47" s="9"/>
      <c r="AU47" s="181"/>
      <c r="AX47" s="14"/>
      <c r="AY47" s="14"/>
      <c r="AZ47" s="14"/>
      <c r="BA47" s="14"/>
      <c r="BB47" s="14"/>
      <c r="BC47" s="14"/>
      <c r="BD47" s="5"/>
      <c r="BE47" s="5"/>
      <c r="BF47" s="63"/>
      <c r="BG47" s="5"/>
      <c r="BH47" s="5"/>
      <c r="BI47" s="5"/>
    </row>
    <row r="48" spans="2:61">
      <c r="B48" s="261" t="s">
        <v>86</v>
      </c>
      <c r="C48" s="249"/>
      <c r="D48" s="37"/>
      <c r="E48" s="37"/>
      <c r="F48" s="71"/>
      <c r="G48" s="11"/>
      <c r="H48" s="259"/>
      <c r="J48" s="32" t="str">
        <f t="shared" si="17"/>
        <v>Other Expenses (per unit)</v>
      </c>
      <c r="K48" s="62"/>
      <c r="L48" s="65">
        <f t="shared" si="18"/>
        <v>1.1148160758876351</v>
      </c>
      <c r="M48" s="35">
        <f t="shared" si="19"/>
        <v>5574.0803794381754</v>
      </c>
      <c r="O48" s="32" t="str">
        <f t="shared" si="20"/>
        <v>Other Expenses (per unit)</v>
      </c>
      <c r="P48" s="62"/>
      <c r="Q48" s="65">
        <f t="shared" si="21"/>
        <v>1.1148160758876351</v>
      </c>
      <c r="R48" s="35">
        <f t="shared" si="22"/>
        <v>5574.0803794381754</v>
      </c>
      <c r="T48" s="32" t="str">
        <f t="shared" si="23"/>
        <v>Other Expenses (per unit)</v>
      </c>
      <c r="U48" s="62"/>
      <c r="V48" s="65">
        <f t="shared" si="24"/>
        <v>1.1148160758876351</v>
      </c>
      <c r="W48" s="35">
        <f t="shared" si="25"/>
        <v>5574.0803794381754</v>
      </c>
      <c r="X48" s="11"/>
      <c r="Z48" s="12"/>
      <c r="AA48" s="9"/>
      <c r="AB48" s="10"/>
      <c r="AD48" s="13"/>
      <c r="AE48" s="14"/>
      <c r="AF48" s="14"/>
      <c r="AG48" s="14"/>
      <c r="AH48" s="14"/>
      <c r="AJ48" s="14"/>
      <c r="AK48" s="14"/>
      <c r="AL48" s="14"/>
      <c r="AM48" s="5"/>
      <c r="AN48" s="5"/>
      <c r="AO48" s="141"/>
      <c r="AP48" s="8"/>
      <c r="AQ48" s="12"/>
      <c r="AR48" s="9"/>
      <c r="AS48" s="10"/>
      <c r="AT48" s="9"/>
      <c r="AU48" s="181"/>
      <c r="AX48" s="14"/>
      <c r="AY48" s="14"/>
      <c r="AZ48" s="14"/>
      <c r="BA48" s="14"/>
      <c r="BB48" s="14"/>
      <c r="BC48" s="14"/>
      <c r="BD48" s="5"/>
      <c r="BE48" s="5"/>
      <c r="BF48" s="63"/>
      <c r="BG48" s="5"/>
      <c r="BH48" s="5"/>
      <c r="BI48" s="5"/>
    </row>
    <row r="49" spans="2:61">
      <c r="B49" s="261" t="s">
        <v>87</v>
      </c>
      <c r="C49" s="249"/>
      <c r="D49" s="37"/>
      <c r="E49" s="37"/>
      <c r="F49" s="71"/>
      <c r="G49" s="11"/>
      <c r="H49" s="259"/>
      <c r="J49" s="32" t="str">
        <f t="shared" si="17"/>
        <v>Direct Admin Expense (per unit)</v>
      </c>
      <c r="K49" s="62"/>
      <c r="L49" s="65">
        <f t="shared" si="18"/>
        <v>1.6302160810224837</v>
      </c>
      <c r="M49" s="35">
        <f t="shared" si="19"/>
        <v>8151.0804051124187</v>
      </c>
      <c r="O49" s="32" t="str">
        <f t="shared" si="20"/>
        <v>Direct Admin Expense (per unit)</v>
      </c>
      <c r="P49" s="62"/>
      <c r="Q49" s="65">
        <f t="shared" si="21"/>
        <v>1.6302160810224837</v>
      </c>
      <c r="R49" s="35">
        <f t="shared" si="22"/>
        <v>8151.0804051124187</v>
      </c>
      <c r="T49" s="32" t="str">
        <f t="shared" si="23"/>
        <v>Direct Admin Expense (per unit)</v>
      </c>
      <c r="U49" s="62"/>
      <c r="V49" s="65">
        <f t="shared" si="24"/>
        <v>1.6302160810224837</v>
      </c>
      <c r="W49" s="35">
        <f t="shared" si="25"/>
        <v>8151.0804051124187</v>
      </c>
      <c r="X49" s="11"/>
      <c r="Z49" s="12"/>
      <c r="AA49" s="9"/>
      <c r="AB49" s="10"/>
      <c r="AC49" s="141"/>
      <c r="AD49" s="13"/>
      <c r="AE49" s="14"/>
      <c r="AF49" s="14"/>
      <c r="AG49" s="14"/>
      <c r="AH49" s="14"/>
      <c r="AJ49" s="14"/>
      <c r="AK49" s="14"/>
      <c r="AL49" s="14"/>
      <c r="AM49" s="5"/>
      <c r="AN49" s="5"/>
      <c r="AO49" s="141"/>
      <c r="AP49" s="8"/>
      <c r="AQ49" s="12"/>
      <c r="AR49" s="9"/>
      <c r="AS49" s="10"/>
      <c r="AT49" s="9"/>
      <c r="AU49" s="146"/>
      <c r="AX49" s="14"/>
      <c r="AY49" s="14"/>
      <c r="AZ49" s="14"/>
      <c r="BA49" s="14"/>
      <c r="BB49" s="14"/>
      <c r="BC49" s="14"/>
      <c r="BD49" s="5"/>
      <c r="BE49" s="5"/>
      <c r="BF49" s="63"/>
      <c r="BG49" s="5"/>
      <c r="BH49" s="5"/>
      <c r="BI49" s="5"/>
    </row>
    <row r="50" spans="2:61">
      <c r="B50" s="261" t="s">
        <v>88</v>
      </c>
      <c r="C50" s="249"/>
      <c r="D50" s="37"/>
      <c r="E50" s="118"/>
      <c r="F50" s="71"/>
      <c r="G50" s="11"/>
      <c r="H50" s="259"/>
      <c r="J50" s="32" t="str">
        <f t="shared" si="17"/>
        <v>Transprtation (per unit per ratio)</v>
      </c>
      <c r="K50" s="62"/>
      <c r="L50" s="75">
        <f>C36*F26</f>
        <v>1.3797789060296839</v>
      </c>
      <c r="M50" s="76">
        <f t="shared" si="19"/>
        <v>6898.8945301484191</v>
      </c>
      <c r="O50" s="32" t="str">
        <f t="shared" si="20"/>
        <v>Transprtation (per unit per ratio)</v>
      </c>
      <c r="P50" s="62"/>
      <c r="Q50" s="75">
        <f>C36*G26</f>
        <v>0.86236181626855235</v>
      </c>
      <c r="R50" s="76">
        <f t="shared" si="22"/>
        <v>4311.8090813427616</v>
      </c>
      <c r="T50" s="32" t="str">
        <f t="shared" si="23"/>
        <v>Transprtation (per unit per ratio)</v>
      </c>
      <c r="U50" s="62"/>
      <c r="V50" s="75">
        <f>C36*H26</f>
        <v>0.68988945301484195</v>
      </c>
      <c r="W50" s="76">
        <f t="shared" si="25"/>
        <v>3449.4472650742096</v>
      </c>
      <c r="X50" s="11"/>
      <c r="Z50" s="12"/>
      <c r="AA50" s="9"/>
      <c r="AB50" s="10"/>
      <c r="AC50" s="141"/>
      <c r="AD50" s="13"/>
      <c r="AE50" s="14"/>
      <c r="AF50" s="14"/>
      <c r="AG50" s="14"/>
      <c r="AH50" s="14"/>
      <c r="AJ50" s="14"/>
      <c r="AK50" s="14"/>
      <c r="AL50" s="14"/>
      <c r="AM50" s="5"/>
      <c r="AN50" s="5"/>
      <c r="AO50" s="71"/>
      <c r="AP50" s="8"/>
      <c r="AQ50" s="12"/>
      <c r="AR50" s="9"/>
      <c r="AS50" s="10"/>
      <c r="AT50" s="9"/>
      <c r="AU50" s="183"/>
      <c r="AX50" s="14"/>
      <c r="AY50" s="14"/>
      <c r="AZ50" s="14"/>
      <c r="BA50" s="14"/>
      <c r="BB50" s="14"/>
      <c r="BC50" s="14"/>
      <c r="BD50" s="5"/>
      <c r="BE50" s="5"/>
      <c r="BF50" s="63"/>
      <c r="BG50" s="5"/>
      <c r="BH50" s="5"/>
      <c r="BI50" s="5"/>
    </row>
    <row r="51" spans="2:61">
      <c r="B51" s="262" t="s">
        <v>89</v>
      </c>
      <c r="C51" s="249"/>
      <c r="D51" s="37"/>
      <c r="E51" s="118"/>
      <c r="F51" s="71"/>
      <c r="G51" s="11"/>
      <c r="H51" s="259"/>
      <c r="J51" s="32"/>
      <c r="K51" s="62"/>
      <c r="L51" s="78">
        <f>SUM(L44:L50)</f>
        <v>22.781581640955473</v>
      </c>
      <c r="M51" s="79">
        <f>SUM(M44:M50)</f>
        <v>113907.90820477734</v>
      </c>
      <c r="O51" s="32"/>
      <c r="P51" s="62"/>
      <c r="Q51" s="78">
        <f t="shared" ref="Q51:R51" si="26">SUM(Q44:Q50)</f>
        <v>22.264164551194341</v>
      </c>
      <c r="R51" s="79">
        <f t="shared" si="26"/>
        <v>111320.82275597168</v>
      </c>
      <c r="T51" s="32"/>
      <c r="U51" s="62"/>
      <c r="V51" s="78">
        <f>SUM(V44:V50)</f>
        <v>22.09169218794063</v>
      </c>
      <c r="W51" s="79">
        <f>SUM(W44:W50)</f>
        <v>110458.46093970313</v>
      </c>
      <c r="X51" s="11"/>
      <c r="Z51" s="12"/>
      <c r="AA51" s="9"/>
      <c r="AB51" s="10"/>
      <c r="AC51" s="141"/>
      <c r="AD51" s="13"/>
      <c r="AE51" s="14"/>
      <c r="AF51" s="14"/>
      <c r="AG51" s="14"/>
      <c r="AH51" s="14"/>
      <c r="AJ51" s="14"/>
      <c r="AK51" s="14"/>
      <c r="AL51" s="14"/>
      <c r="AM51" s="5"/>
      <c r="AN51" s="5"/>
      <c r="AO51" s="11"/>
      <c r="AP51" s="8"/>
      <c r="AQ51" s="12"/>
      <c r="AR51" s="9"/>
      <c r="AS51" s="10"/>
      <c r="AT51" s="9"/>
      <c r="AU51" s="183"/>
      <c r="AX51" s="14"/>
      <c r="AY51" s="14"/>
      <c r="AZ51" s="14"/>
      <c r="BA51" s="14"/>
      <c r="BB51" s="14"/>
      <c r="BC51" s="14"/>
      <c r="BD51" s="5"/>
      <c r="BE51" s="5"/>
      <c r="BF51" s="63"/>
      <c r="BG51" s="5"/>
      <c r="BH51" s="5"/>
      <c r="BI51" s="5"/>
    </row>
    <row r="52" spans="2:61">
      <c r="B52" s="262" t="s">
        <v>90</v>
      </c>
      <c r="C52" s="249"/>
      <c r="D52" s="37"/>
      <c r="E52" s="11"/>
      <c r="F52" s="71"/>
      <c r="G52" s="11"/>
      <c r="H52" s="259"/>
      <c r="J52" s="61"/>
      <c r="K52" s="62"/>
      <c r="L52" s="83"/>
      <c r="M52" s="35"/>
      <c r="O52" s="61"/>
      <c r="P52" s="62"/>
      <c r="Q52" s="78"/>
      <c r="R52" s="79"/>
      <c r="T52" s="61"/>
      <c r="U52" s="62"/>
      <c r="V52" s="83"/>
      <c r="W52" s="35"/>
      <c r="X52" s="11"/>
      <c r="Z52" s="12"/>
      <c r="AA52" s="9"/>
      <c r="AB52" s="10"/>
      <c r="AC52" s="9"/>
      <c r="AD52" s="183"/>
      <c r="AE52" s="14"/>
      <c r="AF52" s="14"/>
      <c r="AG52" s="14"/>
      <c r="AH52" s="14"/>
      <c r="AI52" s="14"/>
      <c r="AJ52" s="14"/>
      <c r="AK52" s="14"/>
      <c r="AL52" s="14"/>
      <c r="AM52" s="5"/>
      <c r="AN52" s="5"/>
      <c r="AO52" s="63"/>
      <c r="AP52" s="5"/>
      <c r="AQ52" s="5"/>
      <c r="AR52" s="5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2:61">
      <c r="B53" s="262" t="s">
        <v>91</v>
      </c>
      <c r="C53" s="263"/>
      <c r="D53" s="264"/>
      <c r="E53" s="11"/>
      <c r="F53" s="71"/>
      <c r="G53" s="11"/>
      <c r="H53" s="259"/>
      <c r="J53" s="46" t="s">
        <v>52</v>
      </c>
      <c r="K53" s="47"/>
      <c r="L53" s="48"/>
      <c r="M53" s="49">
        <f>M42+M51</f>
        <v>369597.9921738822</v>
      </c>
      <c r="O53" s="46" t="s">
        <v>52</v>
      </c>
      <c r="P53" s="47"/>
      <c r="Q53" s="48"/>
      <c r="R53" s="49">
        <f>R42+R51</f>
        <v>326673.07209954411</v>
      </c>
      <c r="T53" s="46" t="s">
        <v>52</v>
      </c>
      <c r="U53" s="47"/>
      <c r="V53" s="48"/>
      <c r="W53" s="49">
        <f>W42+W51</f>
        <v>266628.96767968463</v>
      </c>
      <c r="X53" s="11"/>
      <c r="Z53" s="12"/>
      <c r="AA53" s="9"/>
      <c r="AB53" s="10"/>
      <c r="AC53" s="9"/>
      <c r="AD53" s="181"/>
      <c r="AE53" s="14"/>
      <c r="AF53" s="14"/>
      <c r="AG53" s="14"/>
      <c r="AH53" s="14"/>
      <c r="AI53" s="14"/>
      <c r="AJ53" s="14"/>
      <c r="AK53" s="14"/>
      <c r="AL53" s="14"/>
      <c r="AM53" s="5"/>
      <c r="AN53" s="5"/>
      <c r="AO53" s="63"/>
      <c r="AP53" s="5"/>
      <c r="AQ53" s="5"/>
      <c r="AR53" s="5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2:61">
      <c r="B54" s="262" t="s">
        <v>92</v>
      </c>
      <c r="C54" s="194"/>
      <c r="D54" s="194"/>
      <c r="E54" s="11"/>
      <c r="F54" s="71"/>
      <c r="G54" s="11"/>
      <c r="H54" s="259"/>
      <c r="J54" s="91"/>
      <c r="K54" s="92"/>
      <c r="L54" s="93"/>
      <c r="M54" s="79"/>
      <c r="O54" s="91"/>
      <c r="P54" s="92"/>
      <c r="Q54" s="93"/>
      <c r="R54" s="79"/>
      <c r="T54" s="91"/>
      <c r="U54" s="92"/>
      <c r="V54" s="93"/>
      <c r="W54" s="79"/>
      <c r="X54" s="11"/>
      <c r="Z54" s="12"/>
      <c r="AA54" s="9"/>
      <c r="AB54" s="10"/>
      <c r="AC54" s="9"/>
      <c r="AD54" s="181"/>
      <c r="AE54" s="14"/>
      <c r="AF54" s="14"/>
      <c r="AG54" s="14"/>
      <c r="AH54" s="14"/>
      <c r="AI54" s="14"/>
      <c r="AJ54" s="14"/>
      <c r="AK54" s="14"/>
      <c r="AL54" s="14"/>
      <c r="AM54" s="5"/>
      <c r="AN54" s="5"/>
      <c r="AO54" s="63"/>
      <c r="AP54" s="5"/>
      <c r="AQ54" s="5"/>
      <c r="AR54" s="5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2:61">
      <c r="B55" s="262" t="s">
        <v>93</v>
      </c>
      <c r="C55" s="265"/>
      <c r="D55" s="194"/>
      <c r="E55" s="11"/>
      <c r="F55" s="71"/>
      <c r="G55" s="71"/>
      <c r="H55" s="266"/>
      <c r="J55" s="61" t="str">
        <f>B37</f>
        <v>Admin Allocation</v>
      </c>
      <c r="K55" s="97">
        <f>C37</f>
        <v>0.12647885873312933</v>
      </c>
      <c r="L55" s="98"/>
      <c r="M55" s="35">
        <f>K55*M53</f>
        <v>46746.332240208685</v>
      </c>
      <c r="O55" s="32" t="str">
        <f>B37</f>
        <v>Admin Allocation</v>
      </c>
      <c r="P55" s="97">
        <f>C37</f>
        <v>0.12647885873312933</v>
      </c>
      <c r="Q55" s="98"/>
      <c r="R55" s="35">
        <f>P55*R53</f>
        <v>41317.237337995612</v>
      </c>
      <c r="T55" s="32" t="s">
        <v>54</v>
      </c>
      <c r="U55" s="97">
        <f>C37</f>
        <v>0.12647885873312933</v>
      </c>
      <c r="V55" s="98"/>
      <c r="W55" s="35">
        <f>U55*W53</f>
        <v>33722.927537318938</v>
      </c>
      <c r="X55" s="11"/>
      <c r="Z55" s="12"/>
      <c r="AA55" s="9"/>
      <c r="AB55" s="10"/>
      <c r="AC55" s="9"/>
      <c r="AD55" s="181"/>
      <c r="AE55" s="14"/>
      <c r="AF55" s="14"/>
      <c r="AG55" s="14"/>
      <c r="AH55" s="14"/>
      <c r="AI55" s="14"/>
      <c r="AJ55" s="14"/>
      <c r="AK55" s="14"/>
      <c r="AL55" s="14"/>
      <c r="AM55" s="5"/>
      <c r="AN55" s="5"/>
      <c r="AO55" s="63"/>
      <c r="AP55" s="5"/>
      <c r="AQ55" s="5"/>
      <c r="AR55" s="5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2:61" ht="15.75" thickBot="1">
      <c r="B56" s="267" t="s">
        <v>94</v>
      </c>
      <c r="C56" s="268"/>
      <c r="D56" s="268"/>
      <c r="E56" s="269"/>
      <c r="F56" s="82"/>
      <c r="G56" s="269"/>
      <c r="H56" s="270"/>
      <c r="J56" s="100" t="s">
        <v>55</v>
      </c>
      <c r="K56" s="101"/>
      <c r="L56" s="102"/>
      <c r="M56" s="103">
        <f>SUM(M53:M55)</f>
        <v>416344.32441409089</v>
      </c>
      <c r="O56" s="100" t="s">
        <v>55</v>
      </c>
      <c r="P56" s="101"/>
      <c r="Q56" s="102"/>
      <c r="R56" s="103">
        <f>SUM(R53:R55)</f>
        <v>367990.30943753972</v>
      </c>
      <c r="T56" s="100" t="s">
        <v>55</v>
      </c>
      <c r="U56" s="101"/>
      <c r="V56" s="102"/>
      <c r="W56" s="103">
        <f>SUM(W53:W55)</f>
        <v>300351.89521700359</v>
      </c>
      <c r="X56" s="11"/>
      <c r="Z56" s="12"/>
      <c r="AA56" s="9"/>
      <c r="AB56" s="10"/>
      <c r="AC56" s="9"/>
      <c r="AD56" s="181"/>
      <c r="AE56" s="14"/>
      <c r="AF56" s="14"/>
      <c r="AG56" s="14"/>
      <c r="AH56" s="14"/>
      <c r="AI56" s="14"/>
      <c r="AJ56" s="14"/>
      <c r="AK56" s="14"/>
      <c r="AL56" s="14"/>
      <c r="AM56" s="5"/>
      <c r="AN56" s="5"/>
      <c r="AO56" s="63"/>
      <c r="AP56" s="5"/>
      <c r="AQ56" s="5"/>
      <c r="AR56" s="5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2:61" ht="15.75" thickTop="1">
      <c r="B57" s="271"/>
      <c r="C57" s="194"/>
      <c r="D57" s="194"/>
      <c r="J57" s="26"/>
      <c r="K57" s="27"/>
      <c r="L57" s="107"/>
      <c r="M57" s="50"/>
      <c r="O57" s="26"/>
      <c r="P57" s="27"/>
      <c r="Q57" s="107"/>
      <c r="R57" s="50"/>
      <c r="T57" s="26"/>
      <c r="U57" s="27"/>
      <c r="V57" s="107"/>
      <c r="W57" s="50"/>
      <c r="X57" s="11"/>
      <c r="Z57" s="12"/>
      <c r="AA57" s="9"/>
      <c r="AB57" s="10"/>
      <c r="AC57" s="9"/>
      <c r="AD57" s="181"/>
      <c r="AE57" s="14"/>
      <c r="AF57" s="14"/>
      <c r="AG57" s="14"/>
      <c r="AH57" s="14"/>
      <c r="AI57" s="14"/>
      <c r="AJ57" s="14"/>
      <c r="AK57" s="14"/>
      <c r="AL57" s="14"/>
      <c r="AM57" s="5"/>
      <c r="AN57" s="5"/>
      <c r="AO57" s="63"/>
      <c r="AP57" s="5"/>
      <c r="AQ57" s="5"/>
      <c r="AR57" s="5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2:61">
      <c r="B58" s="193"/>
      <c r="C58" s="194"/>
      <c r="D58" s="194"/>
      <c r="J58" s="111" t="s">
        <v>57</v>
      </c>
      <c r="K58" s="113"/>
      <c r="L58" s="113"/>
      <c r="M58" s="114">
        <f>M56/M34</f>
        <v>83.268864882818178</v>
      </c>
      <c r="O58" s="111" t="s">
        <v>57</v>
      </c>
      <c r="P58" s="113"/>
      <c r="Q58" s="113"/>
      <c r="R58" s="114">
        <f>R56/R34</f>
        <v>73.598061887507939</v>
      </c>
      <c r="T58" s="111" t="s">
        <v>57</v>
      </c>
      <c r="U58" s="113"/>
      <c r="V58" s="113"/>
      <c r="W58" s="114">
        <f>W56/W34</f>
        <v>60.07037904340072</v>
      </c>
      <c r="X58" s="141"/>
      <c r="Z58" s="12"/>
      <c r="AA58" s="9"/>
      <c r="AB58" s="10"/>
      <c r="AC58" s="9"/>
      <c r="AD58" s="181"/>
      <c r="AE58" s="14"/>
      <c r="AF58" s="14"/>
      <c r="AG58" s="14"/>
      <c r="AH58" s="14"/>
      <c r="AI58" s="14"/>
      <c r="AJ58" s="14"/>
      <c r="AK58" s="14"/>
      <c r="AL58" s="14"/>
      <c r="AM58" s="5"/>
      <c r="AN58" s="5"/>
      <c r="AO58" s="63"/>
      <c r="AP58" s="5"/>
      <c r="AQ58" s="5"/>
      <c r="AR58" s="5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2:61">
      <c r="B59" s="193"/>
      <c r="C59" s="146"/>
      <c r="D59" s="195"/>
      <c r="E59" s="196"/>
      <c r="F59" s="197"/>
      <c r="G59" s="198"/>
      <c r="H59" s="197"/>
      <c r="J59" s="61" t="s">
        <v>59</v>
      </c>
      <c r="K59" s="115"/>
      <c r="L59" s="116"/>
      <c r="M59" s="117">
        <f>M58/6</f>
        <v>13.878144147136362</v>
      </c>
      <c r="O59" s="61" t="s">
        <v>59</v>
      </c>
      <c r="P59" s="115"/>
      <c r="Q59" s="116"/>
      <c r="R59" s="117">
        <f>R58/6</f>
        <v>12.26634364791799</v>
      </c>
      <c r="T59" s="61" t="s">
        <v>59</v>
      </c>
      <c r="U59" s="115"/>
      <c r="V59" s="116"/>
      <c r="W59" s="117">
        <f>W58/6</f>
        <v>10.011729840566787</v>
      </c>
      <c r="X59" s="141"/>
      <c r="Z59" s="12"/>
      <c r="AA59" s="9"/>
      <c r="AB59" s="10"/>
      <c r="AC59" s="9"/>
      <c r="AD59" s="13"/>
      <c r="AE59" s="14"/>
      <c r="AF59" s="14"/>
      <c r="AG59" s="14"/>
      <c r="AH59" s="14"/>
      <c r="AI59" s="14"/>
      <c r="AJ59" s="14"/>
      <c r="AK59" s="14"/>
      <c r="AL59" s="14"/>
      <c r="AM59" s="5"/>
      <c r="AN59" s="5"/>
      <c r="AO59" s="63"/>
      <c r="AP59" s="5"/>
      <c r="AQ59" s="5"/>
      <c r="AR59" s="5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2:61" ht="15.75" thickBot="1">
      <c r="B60" s="181"/>
      <c r="C60" s="181"/>
      <c r="D60" s="181"/>
      <c r="E60" s="196"/>
      <c r="F60" s="197"/>
      <c r="G60" s="198"/>
      <c r="H60" s="197"/>
      <c r="J60" s="61" t="s">
        <v>60</v>
      </c>
      <c r="K60" s="115"/>
      <c r="L60" s="116"/>
      <c r="M60" s="123">
        <f>M59/4</f>
        <v>3.4695360367840906</v>
      </c>
      <c r="O60" s="61" t="s">
        <v>60</v>
      </c>
      <c r="P60" s="115"/>
      <c r="Q60" s="116"/>
      <c r="R60" s="123">
        <f>R59/4</f>
        <v>3.0665859119794976</v>
      </c>
      <c r="T60" s="61" t="s">
        <v>60</v>
      </c>
      <c r="U60" s="115"/>
      <c r="V60" s="116"/>
      <c r="W60" s="123">
        <f>W59/4</f>
        <v>2.5029324601416967</v>
      </c>
      <c r="X60" s="141"/>
      <c r="Z60" s="12"/>
      <c r="AA60" s="9"/>
      <c r="AB60" s="10"/>
      <c r="AC60" s="9"/>
      <c r="AD60" s="13"/>
      <c r="AE60" s="14"/>
      <c r="AF60" s="14"/>
      <c r="AG60" s="14"/>
      <c r="AH60" s="14"/>
      <c r="AI60" s="14"/>
      <c r="AJ60" s="14"/>
      <c r="AK60" s="14"/>
      <c r="AL60" s="14"/>
      <c r="AM60" s="5"/>
      <c r="AN60" s="5"/>
      <c r="AO60" s="63"/>
      <c r="AP60" s="5"/>
      <c r="AQ60" s="5"/>
      <c r="AR60" s="5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2:61" ht="15.75" thickBot="1">
      <c r="C61" s="181"/>
      <c r="D61" s="181"/>
      <c r="E61" s="196"/>
      <c r="F61" s="197"/>
      <c r="G61" s="198"/>
      <c r="H61" s="197"/>
      <c r="J61" s="132" t="s">
        <v>61</v>
      </c>
      <c r="K61" s="133">
        <f>C38</f>
        <v>2.7235921972764018E-2</v>
      </c>
      <c r="L61" s="134"/>
      <c r="M61" s="135">
        <f>M60*(1+K61)</f>
        <v>3.5640320495636351</v>
      </c>
      <c r="O61" s="132" t="s">
        <v>61</v>
      </c>
      <c r="P61" s="133">
        <f>C38</f>
        <v>2.7235921972764018E-2</v>
      </c>
      <c r="Q61" s="134"/>
      <c r="R61" s="135">
        <f>R60*(1+P61)</f>
        <v>3.1501072066009486</v>
      </c>
      <c r="T61" s="132" t="s">
        <v>61</v>
      </c>
      <c r="U61" s="133">
        <f>C38</f>
        <v>2.7235921972764018E-2</v>
      </c>
      <c r="V61" s="134"/>
      <c r="W61" s="135">
        <f>W60*(1+U61)</f>
        <v>2.5711021333292141</v>
      </c>
      <c r="X61" s="11"/>
      <c r="Z61" s="12"/>
      <c r="AA61" s="9"/>
      <c r="AB61" s="10"/>
      <c r="AC61" s="9"/>
      <c r="AD61" s="13"/>
      <c r="AE61" s="14"/>
      <c r="AF61" s="14"/>
      <c r="AG61" s="14"/>
      <c r="AH61" s="14"/>
      <c r="AI61" s="14"/>
      <c r="AJ61" s="14"/>
      <c r="AK61" s="14"/>
      <c r="AL61" s="14"/>
      <c r="AM61" s="5"/>
      <c r="AN61" s="5"/>
      <c r="AO61" s="63"/>
      <c r="AP61" s="5"/>
      <c r="AQ61" s="5"/>
      <c r="AR61" s="5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2:61">
      <c r="B62" s="199"/>
      <c r="C62" s="200"/>
      <c r="D62" s="200"/>
      <c r="E62" s="196"/>
      <c r="F62" s="197"/>
      <c r="G62" s="198"/>
      <c r="H62" s="197"/>
      <c r="J62" s="37"/>
      <c r="K62" s="71"/>
      <c r="L62" s="71"/>
      <c r="M62" s="119"/>
    </row>
    <row r="63" spans="2:61">
      <c r="B63" s="201"/>
      <c r="C63" s="201"/>
      <c r="D63" s="201"/>
      <c r="E63" s="196"/>
      <c r="F63" s="197"/>
      <c r="G63" s="198"/>
      <c r="H63" s="197"/>
    </row>
    <row r="64" spans="2:61">
      <c r="B64" s="201"/>
      <c r="C64" s="201"/>
      <c r="D64" s="201"/>
      <c r="E64" s="196"/>
      <c r="F64" s="197"/>
      <c r="G64" s="198"/>
      <c r="H64" s="197"/>
    </row>
    <row r="65" spans="2:35">
      <c r="B65" s="201"/>
      <c r="C65" s="201"/>
      <c r="D65" s="201"/>
      <c r="S65" s="11"/>
      <c r="T65" s="11"/>
      <c r="U65" s="11"/>
      <c r="V65" s="11"/>
      <c r="W65" s="11"/>
    </row>
    <row r="66" spans="2:35">
      <c r="B66" s="201"/>
      <c r="C66" s="201"/>
      <c r="D66" s="201"/>
      <c r="X66" s="11"/>
    </row>
    <row r="67" spans="2:35">
      <c r="B67" s="201"/>
      <c r="C67" s="201"/>
      <c r="D67" s="201"/>
      <c r="AC67" s="202"/>
      <c r="AI67" s="202"/>
    </row>
    <row r="68" spans="2:35">
      <c r="AI68" s="203"/>
    </row>
    <row r="69" spans="2:35">
      <c r="AI69" s="203"/>
    </row>
  </sheetData>
  <mergeCells count="18">
    <mergeCell ref="B5:B7"/>
    <mergeCell ref="C5:C7"/>
    <mergeCell ref="E5:E7"/>
    <mergeCell ref="G5:G7"/>
    <mergeCell ref="F6:F7"/>
    <mergeCell ref="B3:D4"/>
    <mergeCell ref="E3:E4"/>
    <mergeCell ref="J3:M3"/>
    <mergeCell ref="O3:R3"/>
    <mergeCell ref="T3:W3"/>
    <mergeCell ref="O33:R33"/>
    <mergeCell ref="T33:W33"/>
    <mergeCell ref="B15:H15"/>
    <mergeCell ref="B16:C16"/>
    <mergeCell ref="D16:H16"/>
    <mergeCell ref="B25:B26"/>
    <mergeCell ref="B28:C28"/>
    <mergeCell ref="J33:M33"/>
  </mergeCells>
  <pageMargins left="0.2" right="0.2" top="0.25" bottom="0.2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Fall 2018</vt:lpstr>
      <vt:lpstr>FY20 Models - Proposed</vt:lpstr>
      <vt:lpstr>DDS Active Treatment</vt:lpstr>
      <vt:lpstr>Transportation Model</vt:lpstr>
      <vt:lpstr>CURRENT RATES IN REG</vt:lpstr>
      <vt:lpstr>'CURRENT RATES IN REG'!Print_Area</vt:lpstr>
      <vt:lpstr>'DDS Active Treatment'!Print_Area</vt:lpstr>
      <vt:lpstr>'FY20 Models - Proposed'!Print_Area</vt:lpstr>
      <vt:lpstr>'Transportation Model'!Print_Area</vt:lpstr>
      <vt:lpstr>'Fall 2018'!Print_Titles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EHS</dc:creator>
  <cp:lastModifiedBy> </cp:lastModifiedBy>
  <cp:lastPrinted>2019-01-23T18:30:42Z</cp:lastPrinted>
  <dcterms:created xsi:type="dcterms:W3CDTF">2018-09-12T17:58:22Z</dcterms:created>
  <dcterms:modified xsi:type="dcterms:W3CDTF">2019-01-23T18:37:20Z</dcterms:modified>
</cp:coreProperties>
</file>