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2980" windowHeight="8670"/>
  </bookViews>
  <sheets>
    <sheet name="Models " sheetId="1" r:id="rId1"/>
    <sheet name="Per Diem Rates " sheetId="5" r:id="rId2"/>
    <sheet name="Fall 2018" sheetId="7" r:id="rId3"/>
  </sheets>
  <externalReferences>
    <externalReference r:id="rId4"/>
  </externalReferences>
  <definedNames>
    <definedName name="_xlnm.Print_Area" localSheetId="2">'Fall 2018'!$BF$13:$BQ$40</definedName>
    <definedName name="_xlnm.Print_Area" localSheetId="0">'Models '!$B$2:$L$94</definedName>
    <definedName name="_xlnm.Print_Area" localSheetId="1">'Per Diem Rates '!$A$1:$O$38</definedName>
    <definedName name="_xlnm.Print_Titles" localSheetId="2">'Fall 2018'!$A:$A</definedName>
  </definedNames>
  <calcPr calcId="145621"/>
</workbook>
</file>

<file path=xl/calcChain.xml><?xml version="1.0" encoding="utf-8"?>
<calcChain xmlns="http://schemas.openxmlformats.org/spreadsheetml/2006/main">
  <c r="J60" i="1" l="1"/>
  <c r="J92" i="1" s="1"/>
  <c r="B37" i="5" l="1"/>
  <c r="B17" i="5"/>
  <c r="J91" i="1"/>
  <c r="J59" i="1"/>
  <c r="J29" i="1"/>
  <c r="D94" i="1"/>
  <c r="D64" i="1"/>
  <c r="D33" i="1"/>
  <c r="BH33" i="7"/>
  <c r="BH17" i="7"/>
  <c r="BH21" i="7"/>
  <c r="BH20" i="7"/>
  <c r="BO37" i="7"/>
  <c r="BN37" i="7"/>
  <c r="BM37" i="7"/>
  <c r="BL37" i="7"/>
  <c r="BK37" i="7"/>
  <c r="BJ37" i="7"/>
  <c r="BI37" i="7"/>
  <c r="BH37" i="7"/>
  <c r="BQ37" i="7" s="1"/>
  <c r="BO36" i="7"/>
  <c r="BN36" i="7"/>
  <c r="BM36" i="7"/>
  <c r="BL36" i="7"/>
  <c r="BK36" i="7"/>
  <c r="BJ36" i="7"/>
  <c r="BI36" i="7"/>
  <c r="BH36" i="7"/>
  <c r="BQ33" i="7"/>
  <c r="BQ21" i="7"/>
  <c r="BQ17" i="7"/>
  <c r="BQ39" i="7" l="1"/>
  <c r="BQ23" i="7"/>
  <c r="M37" i="5" l="1"/>
  <c r="N9" i="5"/>
  <c r="O9" i="5" s="1"/>
  <c r="O11" i="5" s="1"/>
  <c r="O12" i="5" s="1"/>
  <c r="O13" i="5" l="1"/>
  <c r="O14" i="5" s="1"/>
  <c r="O16" i="5" s="1"/>
  <c r="F37" i="5" l="1"/>
  <c r="J37" i="5" s="1"/>
  <c r="N37" i="5" s="1"/>
  <c r="A17" i="5"/>
  <c r="E17" i="5" s="1"/>
  <c r="M17" i="5" s="1"/>
  <c r="K86" i="1"/>
  <c r="K85" i="1"/>
  <c r="K84" i="1"/>
  <c r="K83" i="1"/>
  <c r="K54" i="1"/>
  <c r="K53" i="1"/>
  <c r="K52" i="1"/>
  <c r="K51" i="1"/>
  <c r="K50" i="1"/>
  <c r="K24" i="1"/>
  <c r="K23" i="1"/>
  <c r="K22" i="1"/>
  <c r="K21" i="1"/>
  <c r="K20" i="1"/>
  <c r="J17" i="1"/>
  <c r="J16" i="1"/>
  <c r="J11" i="1"/>
  <c r="J10" i="1"/>
  <c r="J9" i="1"/>
  <c r="J8" i="1"/>
  <c r="J7" i="1"/>
  <c r="I17" i="5" l="1"/>
  <c r="L86" i="1" l="1"/>
  <c r="L85" i="1"/>
  <c r="L83" i="1"/>
  <c r="F81" i="1"/>
  <c r="F80" i="1"/>
  <c r="K88" i="1" l="1"/>
  <c r="F82" i="1"/>
  <c r="K9" i="5"/>
  <c r="K11" i="5" s="1"/>
  <c r="K12" i="5" s="1"/>
  <c r="G9" i="5"/>
  <c r="G11" i="5" s="1"/>
  <c r="G12" i="5" s="1"/>
  <c r="C9" i="5"/>
  <c r="C11" i="5" s="1"/>
  <c r="K13" i="5" l="1"/>
  <c r="K14" i="5" s="1"/>
  <c r="K16" i="5" s="1"/>
  <c r="G13" i="5"/>
  <c r="G16" i="5" s="1"/>
  <c r="C12" i="5"/>
  <c r="C13" i="5" s="1"/>
  <c r="C16" i="5" s="1"/>
  <c r="L52" i="1" l="1"/>
  <c r="L50" i="1"/>
  <c r="L54" i="1"/>
  <c r="L53" i="1"/>
  <c r="L51" i="1"/>
  <c r="J41" i="1"/>
  <c r="J71" i="1" s="1"/>
  <c r="L24" i="1"/>
  <c r="J81" i="1"/>
  <c r="J80" i="1"/>
  <c r="J45" i="1"/>
  <c r="J75" i="1" s="1"/>
  <c r="J44" i="1"/>
  <c r="J74" i="1" s="1"/>
  <c r="J43" i="1"/>
  <c r="J73" i="1" s="1"/>
  <c r="J42" i="1"/>
  <c r="J72" i="1" s="1"/>
  <c r="K12" i="1"/>
  <c r="L7" i="1"/>
  <c r="J4" i="1"/>
  <c r="L4" i="1" s="1"/>
  <c r="F85" i="1"/>
  <c r="F87" i="1" s="1"/>
  <c r="F52" i="1"/>
  <c r="F55" i="1" s="1"/>
  <c r="L9" i="1" l="1"/>
  <c r="L42" i="1"/>
  <c r="L44" i="1"/>
  <c r="L16" i="1"/>
  <c r="L43" i="1"/>
  <c r="L45" i="1"/>
  <c r="L17" i="1"/>
  <c r="L41" i="1"/>
  <c r="L11" i="1"/>
  <c r="E88" i="1"/>
  <c r="F89" i="1" s="1"/>
  <c r="L8" i="1"/>
  <c r="L10" i="1"/>
  <c r="L23" i="1"/>
  <c r="L21" i="1"/>
  <c r="L20" i="1"/>
  <c r="L22" i="1"/>
  <c r="F56" i="1"/>
  <c r="F57" i="1" s="1"/>
  <c r="F59" i="1" s="1"/>
  <c r="D32" i="1"/>
  <c r="D29" i="1"/>
  <c r="F24" i="1"/>
  <c r="F17" i="1"/>
  <c r="F16" i="1"/>
  <c r="E12" i="1"/>
  <c r="F23" i="1" s="1"/>
  <c r="F11" i="1"/>
  <c r="F10" i="1"/>
  <c r="F9" i="1"/>
  <c r="F8" i="1"/>
  <c r="F7" i="1"/>
  <c r="D4" i="1"/>
  <c r="F4" i="1" s="1"/>
  <c r="F21" i="1" s="1"/>
  <c r="L18" i="1" l="1"/>
  <c r="L46" i="1"/>
  <c r="B29" i="5"/>
  <c r="C29" i="5" s="1"/>
  <c r="C31" i="5" s="1"/>
  <c r="L71" i="1"/>
  <c r="L76" i="1" s="1"/>
  <c r="L81" i="1"/>
  <c r="L80" i="1"/>
  <c r="L12" i="1"/>
  <c r="F90" i="1"/>
  <c r="F91" i="1" s="1"/>
  <c r="F61" i="1"/>
  <c r="E63" i="1"/>
  <c r="F12" i="1"/>
  <c r="F14" i="1" s="1"/>
  <c r="F15" i="1" s="1"/>
  <c r="F18" i="1"/>
  <c r="F20" i="1"/>
  <c r="F22" i="1"/>
  <c r="L14" i="1" l="1"/>
  <c r="L15" i="1" s="1"/>
  <c r="L25" i="1" s="1"/>
  <c r="L27" i="1" s="1"/>
  <c r="K26" i="1" s="1"/>
  <c r="L30" i="1"/>
  <c r="L78" i="1"/>
  <c r="L79" i="1" s="1"/>
  <c r="L92" i="1"/>
  <c r="L48" i="1"/>
  <c r="L49" i="1" s="1"/>
  <c r="L55" i="1" s="1"/>
  <c r="L56" i="1" s="1"/>
  <c r="L57" i="1" s="1"/>
  <c r="L59" i="1" s="1"/>
  <c r="L60" i="1"/>
  <c r="C32" i="5"/>
  <c r="C33" i="5" s="1"/>
  <c r="C36" i="5" s="1"/>
  <c r="C37" i="5" s="1"/>
  <c r="C38" i="5" s="1"/>
  <c r="L82" i="1"/>
  <c r="F17" i="5"/>
  <c r="F29" i="5" s="1"/>
  <c r="G29" i="5" s="1"/>
  <c r="G31" i="5" s="1"/>
  <c r="C17" i="5"/>
  <c r="C18" i="5" s="1"/>
  <c r="F92" i="1"/>
  <c r="E93" i="1"/>
  <c r="F63" i="1"/>
  <c r="E64" i="1"/>
  <c r="F64" i="1" s="1"/>
  <c r="F25" i="1"/>
  <c r="F27" i="1" s="1"/>
  <c r="E26" i="1" s="1"/>
  <c r="L89" i="1" l="1"/>
  <c r="L87" i="1"/>
  <c r="L28" i="1"/>
  <c r="L29" i="1" s="1"/>
  <c r="K33" i="1" s="1"/>
  <c r="L33" i="1" s="1"/>
  <c r="K64" i="1"/>
  <c r="L64" i="1" s="1"/>
  <c r="G32" i="5"/>
  <c r="G33" i="5"/>
  <c r="G36" i="5" s="1"/>
  <c r="G37" i="5" s="1"/>
  <c r="G38" i="5" s="1"/>
  <c r="J17" i="5"/>
  <c r="G17" i="5"/>
  <c r="G18" i="5" s="1"/>
  <c r="F93" i="1"/>
  <c r="E94" i="1"/>
  <c r="F94" i="1" s="1"/>
  <c r="F28" i="1"/>
  <c r="F29" i="1" s="1"/>
  <c r="L90" i="1" l="1"/>
  <c r="L91" i="1" s="1"/>
  <c r="K94" i="1" s="1"/>
  <c r="L94" i="1" s="1"/>
  <c r="N17" i="5"/>
  <c r="J29" i="5"/>
  <c r="K29" i="5" s="1"/>
  <c r="K31" i="5" s="1"/>
  <c r="K17" i="5"/>
  <c r="K18" i="5" s="1"/>
  <c r="E32" i="1"/>
  <c r="E33" i="1" s="1"/>
  <c r="F33" i="1" s="1"/>
  <c r="F31" i="1"/>
  <c r="F32" i="1" s="1"/>
  <c r="K32" i="5" l="1"/>
  <c r="K33" i="5" s="1"/>
  <c r="K34" i="5" s="1"/>
  <c r="K36" i="5" s="1"/>
  <c r="K37" i="5" s="1"/>
  <c r="K38" i="5" s="1"/>
  <c r="N29" i="5"/>
  <c r="O29" i="5" s="1"/>
  <c r="O31" i="5" s="1"/>
  <c r="O32" i="5" s="1"/>
  <c r="O33" i="5" s="1"/>
  <c r="O34" i="5" s="1"/>
  <c r="O36" i="5" s="1"/>
  <c r="O37" i="5" s="1"/>
  <c r="O38" i="5" s="1"/>
  <c r="O17" i="5"/>
  <c r="O18" i="5" s="1"/>
</calcChain>
</file>

<file path=xl/sharedStrings.xml><?xml version="1.0" encoding="utf-8"?>
<sst xmlns="http://schemas.openxmlformats.org/spreadsheetml/2006/main" count="432" uniqueCount="171">
  <si>
    <t>Family Resource Center</t>
  </si>
  <si>
    <t>CRA Assessments    :</t>
  </si>
  <si>
    <t xml:space="preserve">Exp. Caseload  </t>
  </si>
  <si>
    <t>Salary</t>
  </si>
  <si>
    <t>FTE</t>
  </si>
  <si>
    <t>Expense</t>
  </si>
  <si>
    <t>Program Manager</t>
  </si>
  <si>
    <t>Program Director</t>
  </si>
  <si>
    <t>Family Support Worker</t>
  </si>
  <si>
    <t>School Liaison</t>
  </si>
  <si>
    <t>Administrative Professional / Welcomer</t>
  </si>
  <si>
    <t>Total Program Staff</t>
  </si>
  <si>
    <t>Expenses</t>
  </si>
  <si>
    <t>Unit Cost</t>
  </si>
  <si>
    <t>Tax and Fringe</t>
  </si>
  <si>
    <t>Total Compensation</t>
  </si>
  <si>
    <t>Clinician</t>
  </si>
  <si>
    <t>Family Partner</t>
  </si>
  <si>
    <t>Contract Overhead Expenses</t>
  </si>
  <si>
    <t>Direct Amin Expenses</t>
  </si>
  <si>
    <t xml:space="preserve">Family Related Expenses </t>
  </si>
  <si>
    <t>Staff Mileage / Travel</t>
  </si>
  <si>
    <t xml:space="preserve">Program Supplies &amp; Materials </t>
  </si>
  <si>
    <t xml:space="preserve">Occupancy </t>
  </si>
  <si>
    <t>2650 Sq. Ft.</t>
  </si>
  <si>
    <t>Total Reims excel M&amp;G</t>
  </si>
  <si>
    <t>Subtotal for M &amp; G</t>
  </si>
  <si>
    <t>Admin. Allocation</t>
  </si>
  <si>
    <t>TOTAL</t>
  </si>
  <si>
    <t>CAF:</t>
  </si>
  <si>
    <t xml:space="preserve"> Accommodation Rate: Monthly Case Management </t>
  </si>
  <si>
    <t>CAF: (rate review 2017)</t>
  </si>
  <si>
    <t>CRA Assessments   :</t>
  </si>
  <si>
    <t>2500 Sq. Ft.</t>
  </si>
  <si>
    <t>Total Reimb excl M&amp;G</t>
  </si>
  <si>
    <t>CAF:  (rate review 2017)</t>
  </si>
  <si>
    <t>NA</t>
  </si>
  <si>
    <t>Per Diem Rate</t>
  </si>
  <si>
    <r>
      <rPr>
        <b/>
        <vertAlign val="superscript"/>
        <sz val="24"/>
        <color indexed="8"/>
        <rFont val="Arial"/>
        <family val="2"/>
      </rPr>
      <t xml:space="preserve"> * </t>
    </r>
    <r>
      <rPr>
        <b/>
        <vertAlign val="superscript"/>
        <sz val="20"/>
        <color indexed="8"/>
        <rFont val="Arial"/>
        <family val="2"/>
      </rPr>
      <t>Position not subject to 35% Contract Overhead Expenses</t>
    </r>
  </si>
  <si>
    <r>
      <rPr>
        <b/>
        <vertAlign val="superscript"/>
        <sz val="24"/>
        <color indexed="8"/>
        <rFont val="Arial"/>
        <family val="2"/>
      </rPr>
      <t xml:space="preserve"> **</t>
    </r>
    <r>
      <rPr>
        <b/>
        <vertAlign val="superscript"/>
        <sz val="20"/>
        <color indexed="8"/>
        <rFont val="Arial"/>
        <family val="2"/>
      </rPr>
      <t xml:space="preserve"> Contract Position not subject to Tax and Fringe and Admin Allocation</t>
    </r>
  </si>
  <si>
    <t>CAF</t>
  </si>
  <si>
    <t>Massachusetts Economic Indicators</t>
  </si>
  <si>
    <t>Prepared by Michael Lynch, 781-301-9129</t>
  </si>
  <si>
    <t>FY19</t>
  </si>
  <si>
    <t>FY20</t>
  </si>
  <si>
    <t>FY21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</si>
  <si>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</si>
  <si>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</si>
  <si>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</si>
  <si>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</si>
  <si>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</si>
  <si>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</si>
  <si>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</si>
  <si>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</si>
  <si>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</si>
  <si>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</si>
  <si>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</si>
  <si>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</si>
  <si>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</si>
  <si>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</si>
  <si>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</si>
  <si>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</si>
  <si>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</si>
  <si>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</si>
  <si>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</si>
  <si>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</si>
  <si>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</si>
  <si>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</si>
  <si>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</si>
  <si>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</si>
  <si>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</si>
  <si>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</si>
  <si>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</si>
  <si>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</si>
  <si>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</si>
  <si>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</si>
  <si>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</si>
  <si>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</si>
  <si>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</si>
  <si>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</si>
  <si>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</si>
  <si>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</si>
  <si>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</si>
  <si>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</si>
  <si>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</si>
  <si>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</si>
  <si>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</si>
  <si>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</si>
  <si>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</si>
  <si>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</si>
  <si>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</si>
  <si>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</si>
  <si>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</si>
  <si>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</si>
  <si>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</si>
  <si>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</si>
  <si>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</si>
  <si>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</si>
  <si>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</si>
  <si>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</si>
  <si>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</si>
  <si>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</si>
  <si>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</si>
  <si>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</si>
  <si>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</si>
  <si>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</si>
  <si>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</si>
  <si>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</si>
  <si>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</si>
  <si>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</si>
  <si>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</si>
  <si>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</si>
  <si>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</si>
  <si>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</si>
  <si>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</si>
  <si>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</si>
  <si>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</si>
  <si>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</si>
  <si>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</si>
  <si>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</si>
  <si>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</si>
  <si>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</si>
  <si>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</si>
  <si>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</si>
  <si>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</si>
  <si>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</si>
  <si>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</si>
  <si>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 xml:space="preserve">Base period: </t>
  </si>
  <si>
    <t>Average</t>
  </si>
  <si>
    <t xml:space="preserve">Prospective rate period: </t>
  </si>
  <si>
    <t>FY19Q3</t>
  </si>
  <si>
    <t>PER DIEM</t>
  </si>
  <si>
    <t>Service Unit - Day</t>
  </si>
  <si>
    <t>Total Days</t>
  </si>
  <si>
    <t>Subtotal</t>
  </si>
  <si>
    <t>Overhead Expenses</t>
  </si>
  <si>
    <t>Family Partner **</t>
  </si>
  <si>
    <t>Clinician **</t>
  </si>
  <si>
    <t>Family Support Worker *</t>
  </si>
  <si>
    <t xml:space="preserve">Family Support Worker </t>
  </si>
  <si>
    <t>Tax &amp; Fringe</t>
  </si>
  <si>
    <t>Admin Allocation</t>
  </si>
  <si>
    <t>CAF Only  Rates for April 1, 2019 - June 30, 2019</t>
  </si>
  <si>
    <t xml:space="preserve"> Rates for July 1, 2019 - June 30, 2021</t>
  </si>
  <si>
    <t>FY19Q4</t>
  </si>
  <si>
    <t>CAF: (4/1/19 - 6/30/19)</t>
  </si>
  <si>
    <t>CAF: (rate review FY20 - FY21)</t>
  </si>
  <si>
    <t>Rates for April 1, 2019 through June 30, 2019</t>
  </si>
  <si>
    <t>Rates for July 1, 2019 through June 30, 2021</t>
  </si>
  <si>
    <t>NEW RATE</t>
  </si>
  <si>
    <t>School Liaison *</t>
  </si>
  <si>
    <t>Micro Family Resource Center</t>
  </si>
  <si>
    <t>Micro Family Resource Center Add-On</t>
  </si>
  <si>
    <t>IHS Markit, Fall 2018 Forecast</t>
  </si>
  <si>
    <t>FY22</t>
  </si>
  <si>
    <t>FY23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</si>
  <si>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</si>
  <si>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</si>
  <si>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</si>
  <si>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</si>
  <si>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</si>
  <si>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</si>
  <si>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</si>
  <si>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</si>
  <si>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Assumption for Rate Reviews that are to be promulgated July 1, 2019</t>
  </si>
  <si>
    <t>FY20 &amp; FY21</t>
  </si>
  <si>
    <t>4/1/19 through 6/30/19</t>
  </si>
  <si>
    <t>Assumption for Rate Reviews that are to be promulgated April 1, 2019</t>
  </si>
  <si>
    <t>PFMLA Trust Contribution</t>
  </si>
  <si>
    <t>Rates for April 1, 2019 - June 30, 2019</t>
  </si>
  <si>
    <t xml:space="preserve"> Rates for April 1, 2019 -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</si>
</sst>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"/>
    <numFmt numFmtId="165" formatCode="_(&quot;$&quot;* #,##0_);_(&quot;$&quot;* \(#,##0\);_(&quot;$&quot;* &quot;-&quot;??_);_(@_)"/>
    <numFmt numFmtId="166" formatCode="\$#,##0.00"/>
    <numFmt numFmtId="167" formatCode="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0"/>
      <color indexed="3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vertAlign val="superscript"/>
      <sz val="20"/>
      <color theme="1"/>
      <name val="Arial"/>
      <family val="2"/>
    </font>
    <font>
      <b/>
      <vertAlign val="superscript"/>
      <sz val="24"/>
      <color indexed="8"/>
      <name val="Arial"/>
      <family val="2"/>
    </font>
    <font>
      <b/>
      <vertAlign val="superscript"/>
      <sz val="20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sz val="10"/>
      <name val="Arial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58"/>
      </top>
      <bottom style="double">
        <color indexed="58"/>
      </bottom>
      <diagonal/>
    </border>
    <border>
      <left/>
      <right/>
      <top style="thin">
        <color indexed="58"/>
      </top>
      <bottom style="double">
        <color indexed="58"/>
      </bottom>
      <diagonal/>
    </border>
    <border>
      <left/>
      <right style="medium">
        <color indexed="64"/>
      </right>
      <top style="thin">
        <color indexed="58"/>
      </top>
      <bottom style="double">
        <color indexed="5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44" fillId="0" borderId="0"/>
  </cellStyleXfs>
  <cellXfs count="420">
    <xf numFmtId="0" fontId="0" fillId="0" borderId="0" xfId="0"/>
    <xf numFmtId="0" fontId="4" fillId="0" borderId="0" xfId="0" applyFont="1"/>
    <xf numFmtId="0" fontId="7" fillId="0" borderId="5" xfId="3" applyFont="1" applyBorder="1"/>
    <xf numFmtId="0" fontId="8" fillId="0" borderId="0" xfId="3" applyFont="1" applyBorder="1" applyAlignment="1">
      <alignment horizontal="center"/>
    </xf>
    <xf numFmtId="2" fontId="7" fillId="0" borderId="0" xfId="3" applyNumberFormat="1" applyFont="1" applyBorder="1" applyAlignment="1">
      <alignment horizontal="center" vertical="center"/>
    </xf>
    <xf numFmtId="0" fontId="7" fillId="0" borderId="0" xfId="3" applyFont="1" applyBorder="1"/>
    <xf numFmtId="0" fontId="9" fillId="0" borderId="5" xfId="3" applyFont="1" applyBorder="1"/>
    <xf numFmtId="0" fontId="3" fillId="0" borderId="0" xfId="3" applyFont="1" applyBorder="1" applyAlignment="1">
      <alignment horizontal="center" vertical="center"/>
    </xf>
    <xf numFmtId="0" fontId="3" fillId="0" borderId="0" xfId="3" applyFont="1" applyBorder="1"/>
    <xf numFmtId="0" fontId="9" fillId="0" borderId="0" xfId="3" applyFont="1" applyBorder="1"/>
    <xf numFmtId="0" fontId="7" fillId="0" borderId="11" xfId="3" applyFont="1" applyBorder="1"/>
    <xf numFmtId="0" fontId="7" fillId="0" borderId="12" xfId="3" applyFont="1" applyBorder="1"/>
    <xf numFmtId="0" fontId="7" fillId="0" borderId="12" xfId="3" applyFont="1" applyBorder="1" applyAlignment="1">
      <alignment horizontal="center"/>
    </xf>
    <xf numFmtId="0" fontId="0" fillId="0" borderId="0" xfId="0" applyBorder="1"/>
    <xf numFmtId="42" fontId="10" fillId="0" borderId="0" xfId="3" applyNumberFormat="1" applyFont="1" applyBorder="1"/>
    <xf numFmtId="4" fontId="11" fillId="0" borderId="0" xfId="3" applyNumberFormat="1" applyFont="1" applyFill="1" applyBorder="1"/>
    <xf numFmtId="4" fontId="11" fillId="0" borderId="0" xfId="3" applyNumberFormat="1" applyFont="1" applyBorder="1"/>
    <xf numFmtId="42" fontId="10" fillId="0" borderId="0" xfId="3" applyNumberFormat="1" applyFont="1" applyFill="1" applyBorder="1"/>
    <xf numFmtId="165" fontId="10" fillId="0" borderId="0" xfId="3" applyNumberFormat="1" applyFont="1" applyFill="1" applyBorder="1"/>
    <xf numFmtId="2" fontId="13" fillId="0" borderId="0" xfId="3" applyNumberFormat="1" applyFont="1" applyBorder="1"/>
    <xf numFmtId="165" fontId="10" fillId="0" borderId="0" xfId="1" applyNumberFormat="1" applyFont="1" applyBorder="1"/>
    <xf numFmtId="2" fontId="13" fillId="0" borderId="0" xfId="3" applyNumberFormat="1" applyFont="1" applyFill="1" applyBorder="1"/>
    <xf numFmtId="0" fontId="7" fillId="0" borderId="17" xfId="3" applyFont="1" applyBorder="1"/>
    <xf numFmtId="0" fontId="7" fillId="0" borderId="18" xfId="3" applyFont="1" applyBorder="1"/>
    <xf numFmtId="4" fontId="7" fillId="0" borderId="18" xfId="3" applyNumberFormat="1" applyFont="1" applyBorder="1"/>
    <xf numFmtId="10" fontId="10" fillId="0" borderId="0" xfId="3" applyNumberFormat="1" applyFont="1" applyBorder="1"/>
    <xf numFmtId="44" fontId="7" fillId="0" borderId="18" xfId="3" applyNumberFormat="1" applyFont="1" applyBorder="1"/>
    <xf numFmtId="165" fontId="10" fillId="0" borderId="0" xfId="3" applyNumberFormat="1" applyFont="1" applyBorder="1"/>
    <xf numFmtId="9" fontId="16" fillId="0" borderId="0" xfId="3" applyNumberFormat="1" applyFont="1" applyBorder="1"/>
    <xf numFmtId="0" fontId="1" fillId="0" borderId="0" xfId="3" applyFont="1" applyBorder="1"/>
    <xf numFmtId="0" fontId="14" fillId="0" borderId="0" xfId="3" applyFont="1" applyBorder="1"/>
    <xf numFmtId="44" fontId="10" fillId="0" borderId="0" xfId="3" applyNumberFormat="1" applyFont="1" applyBorder="1"/>
    <xf numFmtId="0" fontId="10" fillId="0" borderId="0" xfId="3" applyFont="1" applyFill="1" applyBorder="1" applyAlignment="1">
      <alignment horizontal="right"/>
    </xf>
    <xf numFmtId="0" fontId="18" fillId="0" borderId="0" xfId="3" applyFont="1" applyBorder="1"/>
    <xf numFmtId="165" fontId="18" fillId="0" borderId="0" xfId="3" applyNumberFormat="1" applyFont="1" applyBorder="1"/>
    <xf numFmtId="0" fontId="7" fillId="0" borderId="21" xfId="3" applyFont="1" applyBorder="1"/>
    <xf numFmtId="0" fontId="9" fillId="0" borderId="22" xfId="3" applyFont="1" applyBorder="1"/>
    <xf numFmtId="10" fontId="11" fillId="0" borderId="0" xfId="3" applyNumberFormat="1" applyFont="1" applyBorder="1"/>
    <xf numFmtId="9" fontId="15" fillId="0" borderId="18" xfId="3" applyNumberFormat="1" applyFont="1" applyBorder="1" applyAlignment="1"/>
    <xf numFmtId="164" fontId="15" fillId="0" borderId="18" xfId="3" applyNumberFormat="1" applyFont="1" applyBorder="1" applyAlignment="1"/>
    <xf numFmtId="44" fontId="15" fillId="0" borderId="18" xfId="4" applyFont="1" applyBorder="1" applyAlignment="1"/>
    <xf numFmtId="0" fontId="0" fillId="0" borderId="0" xfId="0" applyNumberFormat="1"/>
    <xf numFmtId="0" fontId="3" fillId="0" borderId="17" xfId="0" applyFont="1" applyBorder="1"/>
    <xf numFmtId="0" fontId="0" fillId="0" borderId="18" xfId="0" applyFont="1" applyBorder="1"/>
    <xf numFmtId="0" fontId="0" fillId="0" borderId="25" xfId="0" applyFont="1" applyBorder="1" applyAlignment="1">
      <alignment horizontal="center"/>
    </xf>
    <xf numFmtId="0" fontId="9" fillId="0" borderId="9" xfId="3" applyFont="1" applyBorder="1"/>
    <xf numFmtId="0" fontId="7" fillId="0" borderId="23" xfId="3" applyFont="1" applyBorder="1"/>
    <xf numFmtId="165" fontId="0" fillId="0" borderId="0" xfId="0" applyNumberFormat="1"/>
    <xf numFmtId="0" fontId="0" fillId="0" borderId="0" xfId="0" applyFill="1"/>
    <xf numFmtId="0" fontId="3" fillId="0" borderId="0" xfId="0" applyFont="1" applyBorder="1"/>
    <xf numFmtId="0" fontId="0" fillId="0" borderId="0" xfId="0" applyFont="1" applyBorder="1"/>
    <xf numFmtId="0" fontId="7" fillId="0" borderId="9" xfId="3" applyFont="1" applyBorder="1"/>
    <xf numFmtId="3" fontId="7" fillId="0" borderId="8" xfId="3" applyNumberFormat="1" applyFont="1" applyFill="1" applyBorder="1" applyAlignment="1">
      <alignment horizontal="center"/>
    </xf>
    <xf numFmtId="0" fontId="9" fillId="0" borderId="10" xfId="3" applyFont="1" applyBorder="1"/>
    <xf numFmtId="0" fontId="7" fillId="0" borderId="13" xfId="3" applyFont="1" applyBorder="1"/>
    <xf numFmtId="0" fontId="7" fillId="0" borderId="14" xfId="3" applyFont="1" applyBorder="1" applyAlignment="1">
      <alignment horizontal="center"/>
    </xf>
    <xf numFmtId="42" fontId="9" fillId="0" borderId="10" xfId="3" applyNumberFormat="1" applyFont="1" applyBorder="1"/>
    <xf numFmtId="0" fontId="7" fillId="0" borderId="19" xfId="3" applyFont="1" applyBorder="1"/>
    <xf numFmtId="42" fontId="7" fillId="0" borderId="20" xfId="3" applyNumberFormat="1" applyFont="1" applyBorder="1"/>
    <xf numFmtId="165" fontId="16" fillId="0" borderId="0" xfId="1" applyNumberFormat="1" applyFont="1" applyBorder="1"/>
    <xf numFmtId="44" fontId="16" fillId="0" borderId="0" xfId="1" applyFont="1" applyBorder="1"/>
    <xf numFmtId="165" fontId="9" fillId="0" borderId="10" xfId="3" applyNumberFormat="1" applyFont="1" applyBorder="1"/>
    <xf numFmtId="0" fontId="18" fillId="0" borderId="0" xfId="3" applyFont="1" applyBorder="1" applyAlignment="1">
      <alignment horizontal="right"/>
    </xf>
    <xf numFmtId="0" fontId="9" fillId="0" borderId="0" xfId="3" applyFont="1" applyBorder="1" applyAlignment="1">
      <alignment horizontal="right"/>
    </xf>
    <xf numFmtId="10" fontId="10" fillId="0" borderId="0" xfId="3" applyNumberFormat="1" applyFont="1" applyFill="1" applyBorder="1"/>
    <xf numFmtId="44" fontId="9" fillId="0" borderId="0" xfId="3" applyNumberFormat="1" applyFont="1" applyFill="1" applyBorder="1"/>
    <xf numFmtId="42" fontId="7" fillId="0" borderId="24" xfId="3" applyNumberFormat="1" applyFont="1" applyBorder="1"/>
    <xf numFmtId="165" fontId="9" fillId="0" borderId="10" xfId="4" applyNumberFormat="1" applyFont="1" applyBorder="1"/>
    <xf numFmtId="0" fontId="3" fillId="0" borderId="19" xfId="0" applyFont="1" applyBorder="1"/>
    <xf numFmtId="0" fontId="3" fillId="0" borderId="18" xfId="0" applyFont="1" applyBorder="1"/>
    <xf numFmtId="165" fontId="0" fillId="0" borderId="10" xfId="0" applyNumberFormat="1" applyFont="1" applyBorder="1"/>
    <xf numFmtId="3" fontId="7" fillId="0" borderId="37" xfId="3" applyNumberFormat="1" applyFont="1" applyFill="1" applyBorder="1" applyAlignment="1">
      <alignment horizontal="center"/>
    </xf>
    <xf numFmtId="0" fontId="9" fillId="0" borderId="38" xfId="3" applyFont="1" applyBorder="1"/>
    <xf numFmtId="0" fontId="7" fillId="0" borderId="35" xfId="3" applyFont="1" applyBorder="1" applyAlignment="1">
      <alignment horizontal="center"/>
    </xf>
    <xf numFmtId="42" fontId="9" fillId="0" borderId="38" xfId="3" applyNumberFormat="1" applyFont="1" applyBorder="1"/>
    <xf numFmtId="42" fontId="7" fillId="0" borderId="36" xfId="3" applyNumberFormat="1" applyFont="1" applyBorder="1"/>
    <xf numFmtId="165" fontId="9" fillId="0" borderId="38" xfId="3" applyNumberFormat="1" applyFont="1" applyBorder="1"/>
    <xf numFmtId="165" fontId="9" fillId="0" borderId="38" xfId="3" applyNumberFormat="1" applyFont="1" applyFill="1" applyBorder="1"/>
    <xf numFmtId="42" fontId="7" fillId="0" borderId="39" xfId="3" applyNumberFormat="1" applyFont="1" applyBorder="1"/>
    <xf numFmtId="165" fontId="9" fillId="0" borderId="38" xfId="4" applyNumberFormat="1" applyFont="1" applyBorder="1"/>
    <xf numFmtId="0" fontId="0" fillId="0" borderId="5" xfId="0" applyFont="1" applyBorder="1"/>
    <xf numFmtId="0" fontId="0" fillId="0" borderId="38" xfId="0" applyFont="1" applyBorder="1"/>
    <xf numFmtId="165" fontId="0" fillId="0" borderId="1" xfId="0" applyNumberFormat="1" applyFont="1" applyBorder="1"/>
    <xf numFmtId="165" fontId="0" fillId="0" borderId="38" xfId="0" applyNumberFormat="1" applyFont="1" applyBorder="1"/>
    <xf numFmtId="165" fontId="9" fillId="0" borderId="10" xfId="3" applyNumberFormat="1" applyFont="1" applyFill="1" applyBorder="1"/>
    <xf numFmtId="44" fontId="0" fillId="0" borderId="20" xfId="0" applyNumberFormat="1" applyFont="1" applyBorder="1"/>
    <xf numFmtId="0" fontId="30" fillId="7" borderId="0" xfId="10" applyFont="1" applyFill="1"/>
    <xf numFmtId="0" fontId="30" fillId="8" borderId="0" xfId="10" applyFont="1" applyFill="1"/>
    <xf numFmtId="0" fontId="30" fillId="9" borderId="0" xfId="10" applyFont="1" applyFill="1"/>
    <xf numFmtId="14" fontId="22" fillId="0" borderId="0" xfId="7" applyNumberFormat="1" applyFont="1"/>
    <xf numFmtId="0" fontId="22" fillId="0" borderId="0" xfId="8" applyFont="1"/>
    <xf numFmtId="0" fontId="20" fillId="0" borderId="0" xfId="8"/>
    <xf numFmtId="0" fontId="31" fillId="0" borderId="0" xfId="8" applyFont="1"/>
    <xf numFmtId="0" fontId="32" fillId="0" borderId="0" xfId="8" applyFont="1"/>
    <xf numFmtId="0" fontId="20" fillId="0" borderId="15" xfId="8" applyBorder="1"/>
    <xf numFmtId="0" fontId="20" fillId="0" borderId="16" xfId="8" applyBorder="1"/>
    <xf numFmtId="0" fontId="20" fillId="0" borderId="33" xfId="8" applyBorder="1"/>
    <xf numFmtId="0" fontId="20" fillId="0" borderId="5" xfId="8" applyBorder="1"/>
    <xf numFmtId="0" fontId="20" fillId="0" borderId="0" xfId="8" applyBorder="1" applyAlignment="1">
      <alignment horizontal="right"/>
    </xf>
    <xf numFmtId="0" fontId="20" fillId="0" borderId="0" xfId="8" applyBorder="1"/>
    <xf numFmtId="0" fontId="20" fillId="0" borderId="38" xfId="8" applyBorder="1"/>
    <xf numFmtId="0" fontId="33" fillId="0" borderId="38" xfId="8" applyFont="1" applyBorder="1" applyAlignment="1">
      <alignment horizontal="center"/>
    </xf>
    <xf numFmtId="167" fontId="20" fillId="0" borderId="38" xfId="8" applyNumberFormat="1" applyBorder="1" applyAlignment="1">
      <alignment horizontal="center"/>
    </xf>
    <xf numFmtId="0" fontId="20" fillId="0" borderId="38" xfId="8" applyBorder="1" applyAlignment="1">
      <alignment horizontal="center"/>
    </xf>
    <xf numFmtId="0" fontId="22" fillId="3" borderId="0" xfId="8" applyFont="1" applyFill="1" applyBorder="1" applyAlignment="1">
      <alignment horizontal="right"/>
    </xf>
    <xf numFmtId="10" fontId="22" fillId="3" borderId="38" xfId="11" applyNumberFormat="1" applyFont="1" applyFill="1" applyBorder="1" applyAlignment="1">
      <alignment horizontal="center"/>
    </xf>
    <xf numFmtId="0" fontId="20" fillId="0" borderId="11" xfId="8" applyBorder="1"/>
    <xf numFmtId="0" fontId="20" fillId="0" borderId="12" xfId="8" applyBorder="1"/>
    <xf numFmtId="0" fontId="20" fillId="0" borderId="35" xfId="8" applyBorder="1"/>
    <xf numFmtId="0" fontId="8" fillId="0" borderId="12" xfId="3" applyFont="1" applyFill="1" applyBorder="1"/>
    <xf numFmtId="10" fontId="8" fillId="0" borderId="12" xfId="3" applyNumberFormat="1" applyFont="1" applyFill="1" applyBorder="1"/>
    <xf numFmtId="165" fontId="8" fillId="0" borderId="40" xfId="4" applyNumberFormat="1" applyFont="1" applyFill="1" applyBorder="1"/>
    <xf numFmtId="0" fontId="7" fillId="0" borderId="12" xfId="3" applyFont="1" applyFill="1" applyBorder="1"/>
    <xf numFmtId="10" fontId="19" fillId="0" borderId="12" xfId="3" applyNumberFormat="1" applyFont="1" applyFill="1" applyBorder="1"/>
    <xf numFmtId="0" fontId="7" fillId="0" borderId="28" xfId="3" applyFont="1" applyFill="1" applyBorder="1"/>
    <xf numFmtId="0" fontId="7" fillId="0" borderId="32" xfId="3" applyFont="1" applyFill="1" applyBorder="1"/>
    <xf numFmtId="10" fontId="19" fillId="0" borderId="32" xfId="3" applyNumberFormat="1" applyFont="1" applyFill="1" applyBorder="1"/>
    <xf numFmtId="165" fontId="7" fillId="0" borderId="40" xfId="1" applyNumberFormat="1" applyFont="1" applyFill="1" applyBorder="1"/>
    <xf numFmtId="165" fontId="0" fillId="0" borderId="0" xfId="0" applyNumberFormat="1" applyFill="1"/>
    <xf numFmtId="165" fontId="7" fillId="0" borderId="32" xfId="1" applyNumberFormat="1" applyFont="1" applyFill="1" applyBorder="1"/>
    <xf numFmtId="44" fontId="0" fillId="0" borderId="0" xfId="0" applyNumberFormat="1"/>
    <xf numFmtId="10" fontId="0" fillId="0" borderId="0" xfId="2" applyNumberFormat="1" applyFont="1"/>
    <xf numFmtId="0" fontId="3" fillId="0" borderId="0" xfId="0" applyNumberFormat="1" applyFont="1"/>
    <xf numFmtId="1" fontId="35" fillId="0" borderId="9" xfId="0" applyNumberFormat="1" applyFont="1" applyFill="1" applyBorder="1" applyAlignment="1">
      <alignment horizontal="left"/>
    </xf>
    <xf numFmtId="1" fontId="35" fillId="0" borderId="0" xfId="0" applyNumberFormat="1" applyFont="1" applyFill="1" applyBorder="1" applyAlignment="1">
      <alignment horizontal="center"/>
    </xf>
    <xf numFmtId="1" fontId="35" fillId="0" borderId="10" xfId="0" applyNumberFormat="1" applyFont="1" applyFill="1" applyBorder="1" applyAlignment="1">
      <alignment horizontal="center"/>
    </xf>
    <xf numFmtId="0" fontId="36" fillId="0" borderId="13" xfId="0" applyFont="1" applyBorder="1" applyAlignment="1">
      <alignment horizontal="center"/>
    </xf>
    <xf numFmtId="164" fontId="36" fillId="0" borderId="12" xfId="0" applyNumberFormat="1" applyFont="1" applyBorder="1" applyAlignment="1">
      <alignment horizontal="center"/>
    </xf>
    <xf numFmtId="164" fontId="36" fillId="0" borderId="14" xfId="0" applyNumberFormat="1" applyFont="1" applyBorder="1" applyAlignment="1">
      <alignment horizontal="center"/>
    </xf>
    <xf numFmtId="164" fontId="35" fillId="0" borderId="9" xfId="0" applyNumberFormat="1" applyFont="1" applyBorder="1" applyAlignment="1">
      <alignment horizontal="left"/>
    </xf>
    <xf numFmtId="164" fontId="35" fillId="0" borderId="0" xfId="0" applyNumberFormat="1" applyFont="1" applyBorder="1" applyAlignment="1">
      <alignment horizontal="center"/>
    </xf>
    <xf numFmtId="164" fontId="35" fillId="0" borderId="10" xfId="0" applyNumberFormat="1" applyFont="1" applyBorder="1" applyAlignment="1">
      <alignment horizontal="center"/>
    </xf>
    <xf numFmtId="164" fontId="35" fillId="0" borderId="13" xfId="0" applyNumberFormat="1" applyFont="1" applyBorder="1" applyAlignment="1">
      <alignment horizontal="left"/>
    </xf>
    <xf numFmtId="164" fontId="35" fillId="0" borderId="12" xfId="0" applyNumberFormat="1" applyFont="1" applyBorder="1" applyAlignment="1">
      <alignment horizontal="center"/>
    </xf>
    <xf numFmtId="164" fontId="35" fillId="0" borderId="14" xfId="0" applyNumberFormat="1" applyFont="1" applyBorder="1" applyAlignment="1">
      <alignment horizontal="center"/>
    </xf>
    <xf numFmtId="164" fontId="35" fillId="0" borderId="9" xfId="0" applyNumberFormat="1" applyFont="1" applyBorder="1" applyAlignment="1">
      <alignment horizontal="right"/>
    </xf>
    <xf numFmtId="0" fontId="35" fillId="0" borderId="13" xfId="0" applyFont="1" applyFill="1" applyBorder="1"/>
    <xf numFmtId="10" fontId="35" fillId="0" borderId="12" xfId="0" applyNumberFormat="1" applyFont="1" applyBorder="1" applyAlignment="1">
      <alignment horizontal="center"/>
    </xf>
    <xf numFmtId="0" fontId="35" fillId="0" borderId="9" xfId="0" applyFont="1" applyFill="1" applyBorder="1"/>
    <xf numFmtId="10" fontId="35" fillId="0" borderId="0" xfId="0" applyNumberFormat="1" applyFont="1" applyBorder="1" applyAlignment="1">
      <alignment horizontal="center"/>
    </xf>
    <xf numFmtId="0" fontId="35" fillId="0" borderId="9" xfId="0" applyFont="1" applyBorder="1"/>
    <xf numFmtId="10" fontId="35" fillId="0" borderId="0" xfId="13" applyNumberFormat="1" applyFont="1" applyFill="1" applyBorder="1" applyAlignment="1">
      <alignment horizontal="center"/>
    </xf>
    <xf numFmtId="164" fontId="35" fillId="0" borderId="10" xfId="0" applyNumberFormat="1" applyFont="1" applyFill="1" applyBorder="1" applyAlignment="1">
      <alignment horizontal="center"/>
    </xf>
    <xf numFmtId="0" fontId="36" fillId="0" borderId="41" xfId="0" applyFont="1" applyBorder="1"/>
    <xf numFmtId="164" fontId="23" fillId="0" borderId="42" xfId="0" applyNumberFormat="1" applyFont="1" applyBorder="1" applyAlignment="1">
      <alignment horizontal="center"/>
    </xf>
    <xf numFmtId="164" fontId="23" fillId="0" borderId="43" xfId="0" applyNumberFormat="1" applyFont="1" applyBorder="1" applyAlignment="1">
      <alignment horizontal="center"/>
    </xf>
    <xf numFmtId="0" fontId="38" fillId="0" borderId="9" xfId="0" applyFont="1" applyBorder="1"/>
    <xf numFmtId="10" fontId="35" fillId="0" borderId="0" xfId="2" applyNumberFormat="1" applyFont="1" applyBorder="1" applyAlignment="1">
      <alignment horizontal="center"/>
    </xf>
    <xf numFmtId="5" fontId="35" fillId="0" borderId="10" xfId="14" applyNumberFormat="1" applyFont="1" applyBorder="1" applyAlignment="1">
      <alignment horizontal="center"/>
    </xf>
    <xf numFmtId="0" fontId="3" fillId="0" borderId="3" xfId="0" applyFont="1" applyBorder="1"/>
    <xf numFmtId="10" fontId="0" fillId="0" borderId="27" xfId="0" applyNumberFormat="1" applyFont="1" applyBorder="1" applyAlignment="1">
      <alignment horizontal="center"/>
    </xf>
    <xf numFmtId="7" fontId="3" fillId="3" borderId="4" xfId="14" applyNumberFormat="1" applyFont="1" applyFill="1" applyBorder="1" applyAlignment="1">
      <alignment horizontal="center"/>
    </xf>
    <xf numFmtId="0" fontId="24" fillId="0" borderId="7" xfId="0" applyFont="1" applyBorder="1" applyAlignment="1"/>
    <xf numFmtId="0" fontId="24" fillId="0" borderId="6" xfId="0" applyFont="1" applyBorder="1" applyAlignment="1"/>
    <xf numFmtId="0" fontId="24" fillId="0" borderId="8" xfId="0" applyFont="1" applyBorder="1" applyAlignment="1"/>
    <xf numFmtId="0" fontId="24" fillId="0" borderId="28" xfId="0" applyFont="1" applyBorder="1" applyAlignment="1"/>
    <xf numFmtId="0" fontId="24" fillId="0" borderId="32" xfId="0" applyFont="1" applyBorder="1" applyAlignment="1"/>
    <xf numFmtId="0" fontId="24" fillId="0" borderId="29" xfId="0" applyFont="1" applyBorder="1" applyAlignment="1"/>
    <xf numFmtId="0" fontId="24" fillId="0" borderId="0" xfId="0" applyFont="1" applyBorder="1" applyAlignment="1"/>
    <xf numFmtId="9" fontId="0" fillId="0" borderId="0" xfId="2" applyFont="1"/>
    <xf numFmtId="0" fontId="0" fillId="0" borderId="32" xfId="0" applyBorder="1"/>
    <xf numFmtId="0" fontId="0" fillId="0" borderId="29" xfId="0" applyBorder="1"/>
    <xf numFmtId="0" fontId="15" fillId="0" borderId="9" xfId="3" applyFont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42" fontId="9" fillId="0" borderId="10" xfId="3" applyNumberFormat="1" applyFont="1" applyFill="1" applyBorder="1"/>
    <xf numFmtId="165" fontId="14" fillId="0" borderId="10" xfId="3" applyNumberFormat="1" applyFont="1" applyFill="1" applyBorder="1"/>
    <xf numFmtId="165" fontId="14" fillId="0" borderId="10" xfId="3" applyNumberFormat="1" applyFont="1" applyBorder="1"/>
    <xf numFmtId="0" fontId="15" fillId="0" borderId="9" xfId="3" applyFont="1" applyFill="1" applyBorder="1" applyAlignment="1">
      <alignment horizontal="left"/>
    </xf>
    <xf numFmtId="42" fontId="7" fillId="0" borderId="10" xfId="3" applyNumberFormat="1" applyFont="1" applyBorder="1"/>
    <xf numFmtId="166" fontId="15" fillId="0" borderId="19" xfId="3" applyNumberFormat="1" applyFont="1" applyBorder="1" applyAlignment="1"/>
    <xf numFmtId="44" fontId="15" fillId="0" borderId="20" xfId="4" applyFont="1" applyBorder="1" applyAlignment="1"/>
    <xf numFmtId="0" fontId="0" fillId="0" borderId="9" xfId="0" applyFont="1" applyBorder="1"/>
    <xf numFmtId="0" fontId="0" fillId="0" borderId="10" xfId="0" applyFont="1" applyBorder="1"/>
    <xf numFmtId="165" fontId="0" fillId="0" borderId="26" xfId="0" applyNumberFormat="1" applyFont="1" applyBorder="1"/>
    <xf numFmtId="0" fontId="8" fillId="0" borderId="13" xfId="3" applyFont="1" applyFill="1" applyBorder="1"/>
    <xf numFmtId="165" fontId="0" fillId="0" borderId="30" xfId="0" applyNumberFormat="1" applyFont="1" applyBorder="1"/>
    <xf numFmtId="0" fontId="7" fillId="0" borderId="13" xfId="3" applyFont="1" applyFill="1" applyBorder="1"/>
    <xf numFmtId="0" fontId="7" fillId="0" borderId="0" xfId="3" applyFont="1" applyFill="1" applyBorder="1"/>
    <xf numFmtId="0" fontId="8" fillId="0" borderId="0" xfId="3" applyFont="1" applyFill="1" applyBorder="1" applyAlignment="1">
      <alignment horizontal="center"/>
    </xf>
    <xf numFmtId="2" fontId="7" fillId="0" borderId="0" xfId="3" applyNumberFormat="1" applyFont="1" applyFill="1" applyBorder="1" applyAlignment="1">
      <alignment horizontal="center" vertical="center"/>
    </xf>
    <xf numFmtId="0" fontId="9" fillId="0" borderId="0" xfId="3" applyFont="1" applyFill="1" applyBorder="1"/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/>
    <xf numFmtId="165" fontId="10" fillId="0" borderId="0" xfId="1" applyNumberFormat="1" applyFont="1" applyFill="1" applyBorder="1"/>
    <xf numFmtId="44" fontId="16" fillId="0" borderId="0" xfId="1" applyFont="1" applyFill="1" applyBorder="1"/>
    <xf numFmtId="0" fontId="14" fillId="0" borderId="0" xfId="3" applyFont="1" applyFill="1" applyBorder="1"/>
    <xf numFmtId="0" fontId="18" fillId="0" borderId="0" xfId="3" applyFont="1" applyFill="1" applyBorder="1" applyAlignment="1">
      <alignment horizontal="right"/>
    </xf>
    <xf numFmtId="165" fontId="18" fillId="0" borderId="0" xfId="3" applyNumberFormat="1" applyFont="1" applyFill="1" applyBorder="1"/>
    <xf numFmtId="0" fontId="9" fillId="0" borderId="0" xfId="3" applyFont="1" applyFill="1" applyBorder="1" applyAlignment="1">
      <alignment horizontal="right"/>
    </xf>
    <xf numFmtId="10" fontId="11" fillId="0" borderId="0" xfId="3" applyNumberFormat="1" applyFont="1" applyFill="1" applyBorder="1"/>
    <xf numFmtId="0" fontId="39" fillId="0" borderId="0" xfId="0" applyFont="1" applyFill="1" applyBorder="1"/>
    <xf numFmtId="0" fontId="41" fillId="0" borderId="0" xfId="3" applyFont="1" applyFill="1" applyBorder="1"/>
    <xf numFmtId="0" fontId="41" fillId="0" borderId="0" xfId="3" applyFont="1" applyFill="1" applyBorder="1" applyAlignment="1">
      <alignment horizontal="center"/>
    </xf>
    <xf numFmtId="2" fontId="41" fillId="0" borderId="0" xfId="3" applyNumberFormat="1" applyFont="1" applyFill="1" applyBorder="1" applyAlignment="1">
      <alignment horizontal="center" vertical="center"/>
    </xf>
    <xf numFmtId="3" fontId="41" fillId="0" borderId="0" xfId="3" applyNumberFormat="1" applyFont="1" applyFill="1" applyBorder="1" applyAlignment="1">
      <alignment horizontal="center"/>
    </xf>
    <xf numFmtId="0" fontId="42" fillId="0" borderId="0" xfId="3" applyFont="1" applyFill="1" applyBorder="1"/>
    <xf numFmtId="0" fontId="2" fillId="0" borderId="0" xfId="3" applyFont="1" applyFill="1" applyBorder="1" applyAlignment="1">
      <alignment horizontal="center" vertical="center"/>
    </xf>
    <xf numFmtId="0" fontId="2" fillId="0" borderId="0" xfId="3" applyFont="1" applyFill="1" applyBorder="1"/>
    <xf numFmtId="42" fontId="42" fillId="0" borderId="0" xfId="3" applyNumberFormat="1" applyFont="1" applyFill="1" applyBorder="1"/>
    <xf numFmtId="4" fontId="42" fillId="0" borderId="0" xfId="3" applyNumberFormat="1" applyFont="1" applyFill="1" applyBorder="1"/>
    <xf numFmtId="165" fontId="42" fillId="0" borderId="0" xfId="3" applyNumberFormat="1" applyFont="1" applyFill="1" applyBorder="1"/>
    <xf numFmtId="2" fontId="42" fillId="0" borderId="0" xfId="3" applyNumberFormat="1" applyFont="1" applyFill="1" applyBorder="1"/>
    <xf numFmtId="165" fontId="42" fillId="0" borderId="0" xfId="1" applyNumberFormat="1" applyFont="1" applyFill="1" applyBorder="1"/>
    <xf numFmtId="4" fontId="41" fillId="0" borderId="0" xfId="3" applyNumberFormat="1" applyFont="1" applyFill="1" applyBorder="1"/>
    <xf numFmtId="42" fontId="41" fillId="0" borderId="0" xfId="3" applyNumberFormat="1" applyFont="1" applyFill="1" applyBorder="1"/>
    <xf numFmtId="10" fontId="42" fillId="0" borderId="0" xfId="3" applyNumberFormat="1" applyFont="1" applyFill="1" applyBorder="1"/>
    <xf numFmtId="44" fontId="41" fillId="0" borderId="0" xfId="3" applyNumberFormat="1" applyFont="1" applyFill="1" applyBorder="1"/>
    <xf numFmtId="165" fontId="39" fillId="0" borderId="0" xfId="1" applyNumberFormat="1" applyFont="1" applyFill="1" applyBorder="1"/>
    <xf numFmtId="0" fontId="42" fillId="0" borderId="0" xfId="3" applyFont="1" applyFill="1" applyBorder="1" applyAlignment="1">
      <alignment horizontal="left"/>
    </xf>
    <xf numFmtId="9" fontId="39" fillId="0" borderId="0" xfId="3" applyNumberFormat="1" applyFont="1" applyFill="1" applyBorder="1"/>
    <xf numFmtId="44" fontId="39" fillId="0" borderId="0" xfId="1" applyFont="1" applyFill="1" applyBorder="1"/>
    <xf numFmtId="0" fontId="39" fillId="0" borderId="0" xfId="3" applyFont="1" applyFill="1" applyBorder="1"/>
    <xf numFmtId="0" fontId="42" fillId="0" borderId="0" xfId="3" applyFont="1" applyFill="1" applyBorder="1" applyAlignment="1">
      <alignment horizontal="right"/>
    </xf>
    <xf numFmtId="44" fontId="42" fillId="0" borderId="0" xfId="3" applyNumberFormat="1" applyFont="1" applyFill="1" applyBorder="1"/>
    <xf numFmtId="0" fontId="41" fillId="0" borderId="0" xfId="3" applyFont="1" applyFill="1" applyBorder="1" applyAlignment="1">
      <alignment horizontal="right"/>
    </xf>
    <xf numFmtId="165" fontId="41" fillId="0" borderId="0" xfId="3" applyNumberFormat="1" applyFont="1" applyFill="1" applyBorder="1"/>
    <xf numFmtId="165" fontId="42" fillId="0" borderId="0" xfId="4" applyNumberFormat="1" applyFont="1" applyFill="1" applyBorder="1"/>
    <xf numFmtId="0" fontId="2" fillId="0" borderId="0" xfId="0" applyFont="1" applyFill="1" applyBorder="1"/>
    <xf numFmtId="165" fontId="39" fillId="0" borderId="0" xfId="0" applyNumberFormat="1" applyFont="1" applyFill="1" applyBorder="1"/>
    <xf numFmtId="10" fontId="41" fillId="0" borderId="0" xfId="3" applyNumberFormat="1" applyFont="1" applyFill="1" applyBorder="1"/>
    <xf numFmtId="165" fontId="41" fillId="0" borderId="0" xfId="1" applyNumberFormat="1" applyFont="1" applyFill="1" applyBorder="1"/>
    <xf numFmtId="44" fontId="41" fillId="0" borderId="0" xfId="4" applyNumberFormat="1" applyFont="1" applyFill="1" applyBorder="1"/>
    <xf numFmtId="0" fontId="39" fillId="0" borderId="0" xfId="0" applyNumberFormat="1" applyFont="1" applyFill="1" applyBorder="1"/>
    <xf numFmtId="165" fontId="41" fillId="0" borderId="0" xfId="4" applyNumberFormat="1" applyFont="1" applyFill="1" applyBorder="1"/>
    <xf numFmtId="0" fontId="9" fillId="0" borderId="10" xfId="3" applyFont="1" applyFill="1" applyBorder="1"/>
    <xf numFmtId="0" fontId="7" fillId="0" borderId="12" xfId="3" applyFont="1" applyFill="1" applyBorder="1" applyAlignment="1">
      <alignment horizontal="center"/>
    </xf>
    <xf numFmtId="0" fontId="7" fillId="0" borderId="14" xfId="3" applyFont="1" applyFill="1" applyBorder="1" applyAlignment="1">
      <alignment horizontal="center"/>
    </xf>
    <xf numFmtId="0" fontId="7" fillId="0" borderId="18" xfId="3" applyFont="1" applyFill="1" applyBorder="1"/>
    <xf numFmtId="4" fontId="7" fillId="0" borderId="18" xfId="3" applyNumberFormat="1" applyFont="1" applyFill="1" applyBorder="1"/>
    <xf numFmtId="42" fontId="7" fillId="0" borderId="20" xfId="3" applyNumberFormat="1" applyFont="1" applyFill="1" applyBorder="1"/>
    <xf numFmtId="44" fontId="7" fillId="0" borderId="18" xfId="3" applyNumberFormat="1" applyFont="1" applyFill="1" applyBorder="1"/>
    <xf numFmtId="9" fontId="10" fillId="0" borderId="0" xfId="2" applyFont="1" applyFill="1" applyBorder="1"/>
    <xf numFmtId="0" fontId="9" fillId="0" borderId="22" xfId="3" applyFont="1" applyFill="1" applyBorder="1"/>
    <xf numFmtId="42" fontId="7" fillId="0" borderId="24" xfId="3" applyNumberFormat="1" applyFont="1" applyFill="1" applyBorder="1"/>
    <xf numFmtId="165" fontId="9" fillId="0" borderId="10" xfId="4" applyNumberFormat="1" applyFont="1" applyFill="1" applyBorder="1"/>
    <xf numFmtId="0" fontId="3" fillId="0" borderId="18" xfId="0" applyFont="1" applyFill="1" applyBorder="1"/>
    <xf numFmtId="0" fontId="0" fillId="0" borderId="18" xfId="0" applyFont="1" applyFill="1" applyBorder="1"/>
    <xf numFmtId="44" fontId="0" fillId="0" borderId="20" xfId="0" applyNumberFormat="1" applyFont="1" applyFill="1" applyBorder="1"/>
    <xf numFmtId="0" fontId="0" fillId="0" borderId="0" xfId="0" applyNumberFormat="1" applyFill="1"/>
    <xf numFmtId="0" fontId="7" fillId="0" borderId="9" xfId="3" applyFont="1" applyFill="1" applyBorder="1"/>
    <xf numFmtId="0" fontId="9" fillId="0" borderId="9" xfId="3" applyFont="1" applyFill="1" applyBorder="1"/>
    <xf numFmtId="0" fontId="7" fillId="0" borderId="19" xfId="3" applyFont="1" applyFill="1" applyBorder="1"/>
    <xf numFmtId="0" fontId="7" fillId="0" borderId="23" xfId="3" applyFont="1" applyFill="1" applyBorder="1"/>
    <xf numFmtId="0" fontId="3" fillId="0" borderId="19" xfId="0" applyFont="1" applyFill="1" applyBorder="1"/>
    <xf numFmtId="7" fontId="0" fillId="0" borderId="0" xfId="0" applyNumberFormat="1"/>
    <xf numFmtId="0" fontId="0" fillId="10" borderId="0" xfId="0" applyFill="1"/>
    <xf numFmtId="1" fontId="35" fillId="4" borderId="9" xfId="0" applyNumberFormat="1" applyFont="1" applyFill="1" applyBorder="1" applyAlignment="1">
      <alignment horizontal="left"/>
    </xf>
    <xf numFmtId="1" fontId="35" fillId="4" borderId="0" xfId="0" applyNumberFormat="1" applyFont="1" applyFill="1" applyBorder="1" applyAlignment="1">
      <alignment horizontal="center"/>
    </xf>
    <xf numFmtId="1" fontId="35" fillId="4" borderId="10" xfId="0" applyNumberFormat="1" applyFont="1" applyFill="1" applyBorder="1" applyAlignment="1">
      <alignment horizontal="center"/>
    </xf>
    <xf numFmtId="0" fontId="36" fillId="4" borderId="13" xfId="0" applyFont="1" applyFill="1" applyBorder="1" applyAlignment="1">
      <alignment horizontal="center"/>
    </xf>
    <xf numFmtId="164" fontId="36" fillId="4" borderId="12" xfId="0" applyNumberFormat="1" applyFont="1" applyFill="1" applyBorder="1" applyAlignment="1">
      <alignment horizontal="center"/>
    </xf>
    <xf numFmtId="164" fontId="36" fillId="4" borderId="14" xfId="0" applyNumberFormat="1" applyFont="1" applyFill="1" applyBorder="1" applyAlignment="1">
      <alignment horizontal="center"/>
    </xf>
    <xf numFmtId="164" fontId="35" fillId="4" borderId="9" xfId="0" applyNumberFormat="1" applyFont="1" applyFill="1" applyBorder="1" applyAlignment="1">
      <alignment horizontal="left"/>
    </xf>
    <xf numFmtId="164" fontId="35" fillId="4" borderId="0" xfId="0" applyNumberFormat="1" applyFont="1" applyFill="1" applyBorder="1" applyAlignment="1">
      <alignment horizontal="center"/>
    </xf>
    <xf numFmtId="164" fontId="35" fillId="4" borderId="10" xfId="0" applyNumberFormat="1" applyFont="1" applyFill="1" applyBorder="1" applyAlignment="1">
      <alignment horizontal="center"/>
    </xf>
    <xf numFmtId="164" fontId="35" fillId="4" borderId="13" xfId="0" applyNumberFormat="1" applyFont="1" applyFill="1" applyBorder="1" applyAlignment="1">
      <alignment horizontal="left"/>
    </xf>
    <xf numFmtId="164" fontId="35" fillId="4" borderId="12" xfId="0" applyNumberFormat="1" applyFont="1" applyFill="1" applyBorder="1" applyAlignment="1">
      <alignment horizontal="center"/>
    </xf>
    <xf numFmtId="164" fontId="35" fillId="4" borderId="14" xfId="0" applyNumberFormat="1" applyFont="1" applyFill="1" applyBorder="1" applyAlignment="1">
      <alignment horizontal="center"/>
    </xf>
    <xf numFmtId="164" fontId="35" fillId="4" borderId="9" xfId="0" applyNumberFormat="1" applyFont="1" applyFill="1" applyBorder="1" applyAlignment="1">
      <alignment horizontal="right"/>
    </xf>
    <xf numFmtId="0" fontId="35" fillId="4" borderId="13" xfId="0" applyFont="1" applyFill="1" applyBorder="1"/>
    <xf numFmtId="10" fontId="35" fillId="4" borderId="12" xfId="0" applyNumberFormat="1" applyFont="1" applyFill="1" applyBorder="1" applyAlignment="1">
      <alignment horizontal="center"/>
    </xf>
    <xf numFmtId="0" fontId="35" fillId="4" borderId="9" xfId="0" applyFont="1" applyFill="1" applyBorder="1"/>
    <xf numFmtId="10" fontId="35" fillId="4" borderId="0" xfId="0" applyNumberFormat="1" applyFont="1" applyFill="1" applyBorder="1" applyAlignment="1">
      <alignment horizontal="center"/>
    </xf>
    <xf numFmtId="10" fontId="35" fillId="4" borderId="0" xfId="13" applyNumberFormat="1" applyFont="1" applyFill="1" applyBorder="1" applyAlignment="1">
      <alignment horizontal="center"/>
    </xf>
    <xf numFmtId="0" fontId="36" fillId="4" borderId="41" xfId="0" applyFont="1" applyFill="1" applyBorder="1"/>
    <xf numFmtId="164" fontId="23" fillId="4" borderId="42" xfId="0" applyNumberFormat="1" applyFont="1" applyFill="1" applyBorder="1" applyAlignment="1">
      <alignment horizontal="center"/>
    </xf>
    <xf numFmtId="164" fontId="23" fillId="4" borderId="43" xfId="0" applyNumberFormat="1" applyFont="1" applyFill="1" applyBorder="1" applyAlignment="1">
      <alignment horizontal="center"/>
    </xf>
    <xf numFmtId="0" fontId="38" fillId="4" borderId="9" xfId="0" applyFont="1" applyFill="1" applyBorder="1"/>
    <xf numFmtId="10" fontId="35" fillId="4" borderId="0" xfId="2" applyNumberFormat="1" applyFont="1" applyFill="1" applyBorder="1" applyAlignment="1">
      <alignment horizontal="center"/>
    </xf>
    <xf numFmtId="5" fontId="35" fillId="4" borderId="10" xfId="14" applyNumberFormat="1" applyFont="1" applyFill="1" applyBorder="1" applyAlignment="1">
      <alignment horizontal="center"/>
    </xf>
    <xf numFmtId="0" fontId="3" fillId="4" borderId="3" xfId="0" applyFont="1" applyFill="1" applyBorder="1"/>
    <xf numFmtId="10" fontId="0" fillId="4" borderId="27" xfId="0" applyNumberFormat="1" applyFont="1" applyFill="1" applyBorder="1" applyAlignment="1">
      <alignment horizontal="center"/>
    </xf>
    <xf numFmtId="0" fontId="8" fillId="0" borderId="9" xfId="3" applyFont="1" applyFill="1" applyBorder="1"/>
    <xf numFmtId="0" fontId="9" fillId="0" borderId="18" xfId="3" applyFont="1" applyFill="1" applyBorder="1"/>
    <xf numFmtId="0" fontId="27" fillId="6" borderId="6" xfId="15" applyFont="1" applyFill="1" applyBorder="1"/>
    <xf numFmtId="0" fontId="28" fillId="6" borderId="8" xfId="15" applyFont="1" applyFill="1" applyBorder="1"/>
    <xf numFmtId="0" fontId="44" fillId="0" borderId="0" xfId="15"/>
    <xf numFmtId="0" fontId="28" fillId="6" borderId="0" xfId="15" applyFont="1" applyFill="1" applyBorder="1"/>
    <xf numFmtId="0" fontId="22" fillId="6" borderId="10" xfId="15" applyFont="1" applyFill="1" applyBorder="1"/>
    <xf numFmtId="0" fontId="29" fillId="6" borderId="32" xfId="15" applyFont="1" applyFill="1" applyBorder="1"/>
    <xf numFmtId="0" fontId="22" fillId="6" borderId="29" xfId="15" applyFont="1" applyFill="1" applyBorder="1"/>
    <xf numFmtId="0" fontId="22" fillId="0" borderId="0" xfId="15" applyFont="1"/>
    <xf numFmtId="0" fontId="30" fillId="11" borderId="0" xfId="10" applyFont="1" applyFill="1"/>
    <xf numFmtId="0" fontId="30" fillId="12" borderId="0" xfId="10" applyFont="1" applyFill="1"/>
    <xf numFmtId="14" fontId="22" fillId="0" borderId="0" xfId="15" applyNumberFormat="1" applyFont="1"/>
    <xf numFmtId="167" fontId="44" fillId="0" borderId="0" xfId="15" applyNumberFormat="1"/>
    <xf numFmtId="167" fontId="44" fillId="0" borderId="0" xfId="15" applyNumberFormat="1" applyAlignment="1">
      <alignment horizontal="left"/>
    </xf>
    <xf numFmtId="14" fontId="22" fillId="0" borderId="0" xfId="15" applyNumberFormat="1" applyFont="1" applyAlignment="1">
      <alignment horizontal="right"/>
    </xf>
    <xf numFmtId="10" fontId="46" fillId="0" borderId="0" xfId="3" applyNumberFormat="1" applyFont="1" applyFill="1" applyBorder="1"/>
    <xf numFmtId="0" fontId="8" fillId="0" borderId="5" xfId="3" applyFont="1" applyFill="1" applyBorder="1"/>
    <xf numFmtId="0" fontId="45" fillId="0" borderId="17" xfId="3" applyFont="1" applyFill="1" applyBorder="1"/>
    <xf numFmtId="0" fontId="46" fillId="0" borderId="18" xfId="3" applyFont="1" applyBorder="1"/>
    <xf numFmtId="10" fontId="46" fillId="0" borderId="18" xfId="3" applyNumberFormat="1" applyFont="1" applyBorder="1"/>
    <xf numFmtId="165" fontId="46" fillId="0" borderId="36" xfId="4" applyNumberFormat="1" applyFont="1" applyBorder="1"/>
    <xf numFmtId="10" fontId="46" fillId="0" borderId="18" xfId="3" applyNumberFormat="1" applyFont="1" applyFill="1" applyBorder="1"/>
    <xf numFmtId="0" fontId="46" fillId="0" borderId="18" xfId="3" applyFont="1" applyFill="1" applyBorder="1"/>
    <xf numFmtId="165" fontId="46" fillId="0" borderId="36" xfId="4" applyNumberFormat="1" applyFont="1" applyFill="1" applyBorder="1"/>
    <xf numFmtId="9" fontId="0" fillId="0" borderId="0" xfId="2" applyFont="1" applyFill="1"/>
    <xf numFmtId="0" fontId="15" fillId="0" borderId="0" xfId="3" applyFont="1" applyFill="1" applyBorder="1" applyAlignment="1">
      <alignment horizontal="left"/>
    </xf>
    <xf numFmtId="0" fontId="15" fillId="0" borderId="9" xfId="3" applyFont="1" applyFill="1" applyBorder="1" applyAlignment="1">
      <alignment horizontal="left"/>
    </xf>
    <xf numFmtId="10" fontId="15" fillId="0" borderId="0" xfId="3" applyNumberFormat="1" applyFont="1" applyFill="1" applyBorder="1"/>
    <xf numFmtId="0" fontId="8" fillId="0" borderId="32" xfId="3" applyFont="1" applyFill="1" applyBorder="1"/>
    <xf numFmtId="10" fontId="8" fillId="0" borderId="32" xfId="3" applyNumberFormat="1" applyFont="1" applyFill="1" applyBorder="1"/>
    <xf numFmtId="165" fontId="8" fillId="0" borderId="3" xfId="4" applyNumberFormat="1" applyFont="1" applyFill="1" applyBorder="1"/>
    <xf numFmtId="0" fontId="0" fillId="0" borderId="44" xfId="0" applyBorder="1"/>
    <xf numFmtId="0" fontId="0" fillId="0" borderId="2" xfId="0" applyBorder="1"/>
    <xf numFmtId="2" fontId="13" fillId="0" borderId="2" xfId="3" applyNumberFormat="1" applyFont="1" applyBorder="1"/>
    <xf numFmtId="165" fontId="0" fillId="0" borderId="2" xfId="0" applyNumberFormat="1" applyBorder="1"/>
    <xf numFmtId="165" fontId="8" fillId="0" borderId="8" xfId="4" applyNumberFormat="1" applyFont="1" applyFill="1" applyBorder="1"/>
    <xf numFmtId="0" fontId="8" fillId="0" borderId="28" xfId="3" applyFont="1" applyFill="1" applyBorder="1"/>
    <xf numFmtId="0" fontId="45" fillId="0" borderId="13" xfId="3" applyFont="1" applyFill="1" applyBorder="1"/>
    <xf numFmtId="165" fontId="46" fillId="0" borderId="10" xfId="4" applyNumberFormat="1" applyFont="1" applyFill="1" applyBorder="1"/>
    <xf numFmtId="165" fontId="7" fillId="0" borderId="8" xfId="4" applyNumberFormat="1" applyFont="1" applyFill="1" applyBorder="1"/>
    <xf numFmtId="165" fontId="7" fillId="0" borderId="10" xfId="4" applyNumberFormat="1" applyFont="1" applyFill="1" applyBorder="1"/>
    <xf numFmtId="165" fontId="8" fillId="0" borderId="29" xfId="4" applyNumberFormat="1" applyFont="1" applyFill="1" applyBorder="1"/>
    <xf numFmtId="165" fontId="0" fillId="0" borderId="29" xfId="0" applyNumberFormat="1" applyBorder="1"/>
    <xf numFmtId="165" fontId="8" fillId="3" borderId="34" xfId="4" applyNumberFormat="1" applyFont="1" applyFill="1" applyBorder="1"/>
    <xf numFmtId="165" fontId="7" fillId="3" borderId="34" xfId="4" applyNumberFormat="1" applyFont="1" applyFill="1" applyBorder="1"/>
    <xf numFmtId="0" fontId="7" fillId="0" borderId="46" xfId="3" applyFont="1" applyFill="1" applyBorder="1"/>
    <xf numFmtId="165" fontId="7" fillId="0" borderId="3" xfId="1" applyNumberFormat="1" applyFont="1" applyFill="1" applyBorder="1"/>
    <xf numFmtId="0" fontId="8" fillId="0" borderId="27" xfId="3" applyFont="1" applyFill="1" applyBorder="1"/>
    <xf numFmtId="10" fontId="8" fillId="0" borderId="27" xfId="3" applyNumberFormat="1" applyFont="1" applyFill="1" applyBorder="1"/>
    <xf numFmtId="165" fontId="8" fillId="0" borderId="27" xfId="4" applyNumberFormat="1" applyFont="1" applyFill="1" applyBorder="1"/>
    <xf numFmtId="0" fontId="8" fillId="0" borderId="3" xfId="3" applyFont="1" applyFill="1" applyBorder="1"/>
    <xf numFmtId="0" fontId="36" fillId="0" borderId="13" xfId="0" applyFont="1" applyFill="1" applyBorder="1" applyAlignment="1">
      <alignment horizontal="center"/>
    </xf>
    <xf numFmtId="164" fontId="36" fillId="0" borderId="12" xfId="0" applyNumberFormat="1" applyFont="1" applyFill="1" applyBorder="1" applyAlignment="1">
      <alignment horizontal="center"/>
    </xf>
    <xf numFmtId="164" fontId="36" fillId="0" borderId="14" xfId="0" applyNumberFormat="1" applyFont="1" applyFill="1" applyBorder="1" applyAlignment="1">
      <alignment horizontal="center"/>
    </xf>
    <xf numFmtId="164" fontId="35" fillId="0" borderId="9" xfId="0" applyNumberFormat="1" applyFont="1" applyFill="1" applyBorder="1" applyAlignment="1">
      <alignment horizontal="left"/>
    </xf>
    <xf numFmtId="164" fontId="35" fillId="0" borderId="0" xfId="0" applyNumberFormat="1" applyFont="1" applyFill="1" applyBorder="1" applyAlignment="1">
      <alignment horizontal="center"/>
    </xf>
    <xf numFmtId="164" fontId="35" fillId="0" borderId="13" xfId="0" applyNumberFormat="1" applyFont="1" applyFill="1" applyBorder="1" applyAlignment="1">
      <alignment horizontal="left"/>
    </xf>
    <xf numFmtId="164" fontId="35" fillId="0" borderId="12" xfId="0" applyNumberFormat="1" applyFont="1" applyFill="1" applyBorder="1" applyAlignment="1">
      <alignment horizontal="center"/>
    </xf>
    <xf numFmtId="164" fontId="35" fillId="0" borderId="14" xfId="0" applyNumberFormat="1" applyFont="1" applyFill="1" applyBorder="1" applyAlignment="1">
      <alignment horizontal="center"/>
    </xf>
    <xf numFmtId="164" fontId="35" fillId="0" borderId="9" xfId="0" applyNumberFormat="1" applyFont="1" applyFill="1" applyBorder="1" applyAlignment="1">
      <alignment horizontal="right"/>
    </xf>
    <xf numFmtId="10" fontId="35" fillId="0" borderId="12" xfId="0" applyNumberFormat="1" applyFont="1" applyFill="1" applyBorder="1" applyAlignment="1">
      <alignment horizontal="center"/>
    </xf>
    <xf numFmtId="10" fontId="35" fillId="0" borderId="0" xfId="0" applyNumberFormat="1" applyFont="1" applyFill="1" applyBorder="1" applyAlignment="1">
      <alignment horizontal="center"/>
    </xf>
    <xf numFmtId="0" fontId="36" fillId="0" borderId="41" xfId="0" applyFont="1" applyFill="1" applyBorder="1"/>
    <xf numFmtId="164" fontId="23" fillId="0" borderId="42" xfId="0" applyNumberFormat="1" applyFont="1" applyFill="1" applyBorder="1" applyAlignment="1">
      <alignment horizontal="center"/>
    </xf>
    <xf numFmtId="164" fontId="23" fillId="0" borderId="43" xfId="0" applyNumberFormat="1" applyFont="1" applyFill="1" applyBorder="1" applyAlignment="1">
      <alignment horizontal="center"/>
    </xf>
    <xf numFmtId="0" fontId="38" fillId="0" borderId="9" xfId="0" applyFont="1" applyFill="1" applyBorder="1"/>
    <xf numFmtId="10" fontId="35" fillId="0" borderId="0" xfId="2" applyNumberFormat="1" applyFont="1" applyFill="1" applyBorder="1" applyAlignment="1">
      <alignment horizontal="center"/>
    </xf>
    <xf numFmtId="5" fontId="35" fillId="0" borderId="10" xfId="14" applyNumberFormat="1" applyFont="1" applyFill="1" applyBorder="1" applyAlignment="1">
      <alignment horizontal="center"/>
    </xf>
    <xf numFmtId="10" fontId="0" fillId="0" borderId="27" xfId="0" applyNumberFormat="1" applyFont="1" applyFill="1" applyBorder="1" applyAlignment="1">
      <alignment horizontal="center"/>
    </xf>
    <xf numFmtId="0" fontId="3" fillId="0" borderId="3" xfId="0" applyFont="1" applyFill="1" applyBorder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27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27" xfId="0" applyFont="1" applyFill="1" applyBorder="1" applyAlignment="1">
      <alignment horizontal="center"/>
    </xf>
    <xf numFmtId="0" fontId="3" fillId="13" borderId="4" xfId="0" applyFont="1" applyFill="1" applyBorder="1" applyAlignment="1">
      <alignment horizontal="center"/>
    </xf>
    <xf numFmtId="0" fontId="3" fillId="13" borderId="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14" fillId="0" borderId="9" xfId="3" applyFont="1" applyBorder="1" applyAlignment="1">
      <alignment horizontal="left"/>
    </xf>
    <xf numFmtId="0" fontId="14" fillId="0" borderId="0" xfId="3" applyFont="1" applyBorder="1" applyAlignment="1">
      <alignment horizontal="left"/>
    </xf>
    <xf numFmtId="0" fontId="17" fillId="0" borderId="9" xfId="3" applyFont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9" fillId="0" borderId="9" xfId="3" applyFont="1" applyFill="1" applyBorder="1" applyAlignment="1">
      <alignment horizontal="left"/>
    </xf>
    <xf numFmtId="0" fontId="9" fillId="0" borderId="0" xfId="3" applyFont="1" applyFill="1" applyBorder="1" applyAlignment="1">
      <alignment horizontal="left"/>
    </xf>
    <xf numFmtId="0" fontId="6" fillId="2" borderId="44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45" xfId="3" applyFont="1" applyFill="1" applyBorder="1" applyAlignment="1">
      <alignment horizontal="center" vertical="center"/>
    </xf>
    <xf numFmtId="0" fontId="7" fillId="0" borderId="15" xfId="3" applyFont="1" applyBorder="1" applyAlignment="1">
      <alignment horizontal="left"/>
    </xf>
    <xf numFmtId="0" fontId="7" fillId="0" borderId="16" xfId="3" applyFont="1" applyBorder="1" applyAlignment="1">
      <alignment horizontal="left"/>
    </xf>
    <xf numFmtId="164" fontId="8" fillId="0" borderId="5" xfId="3" applyNumberFormat="1" applyFont="1" applyBorder="1" applyAlignment="1">
      <alignment horizontal="left"/>
    </xf>
    <xf numFmtId="164" fontId="8" fillId="0" borderId="0" xfId="3" applyNumberFormat="1" applyFont="1" applyBorder="1" applyAlignment="1">
      <alignment horizontal="left"/>
    </xf>
    <xf numFmtId="0" fontId="7" fillId="0" borderId="31" xfId="3" applyFont="1" applyBorder="1" applyAlignment="1">
      <alignment horizontal="left"/>
    </xf>
    <xf numFmtId="164" fontId="8" fillId="0" borderId="9" xfId="3" applyNumberFormat="1" applyFont="1" applyBorder="1" applyAlignment="1">
      <alignment horizontal="left"/>
    </xf>
    <xf numFmtId="0" fontId="12" fillId="0" borderId="9" xfId="3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8" fillId="0" borderId="9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12" fillId="0" borderId="13" xfId="3" applyFont="1" applyBorder="1" applyAlignment="1">
      <alignment horizontal="left"/>
    </xf>
    <xf numFmtId="0" fontId="12" fillId="0" borderId="12" xfId="3" applyFont="1" applyBorder="1" applyAlignment="1">
      <alignment horizontal="left"/>
    </xf>
    <xf numFmtId="0" fontId="15" fillId="0" borderId="9" xfId="3" applyFont="1" applyFill="1" applyBorder="1" applyAlignment="1">
      <alignment horizontal="left"/>
    </xf>
    <xf numFmtId="0" fontId="15" fillId="0" borderId="0" xfId="3" applyFont="1" applyFill="1" applyBorder="1" applyAlignment="1">
      <alignment horizontal="left"/>
    </xf>
    <xf numFmtId="0" fontId="47" fillId="5" borderId="3" xfId="0" applyFont="1" applyFill="1" applyBorder="1" applyAlignment="1">
      <alignment horizontal="center"/>
    </xf>
    <xf numFmtId="0" fontId="47" fillId="5" borderId="27" xfId="0" applyFont="1" applyFill="1" applyBorder="1" applyAlignment="1">
      <alignment horizontal="center"/>
    </xf>
    <xf numFmtId="0" fontId="47" fillId="5" borderId="4" xfId="0" applyFont="1" applyFill="1" applyBorder="1" applyAlignment="1">
      <alignment horizontal="center"/>
    </xf>
    <xf numFmtId="0" fontId="12" fillId="0" borderId="11" xfId="3" applyFont="1" applyBorder="1" applyAlignment="1">
      <alignment horizontal="left"/>
    </xf>
    <xf numFmtId="0" fontId="14" fillId="0" borderId="5" xfId="3" applyFont="1" applyBorder="1" applyAlignment="1">
      <alignment horizontal="left"/>
    </xf>
    <xf numFmtId="0" fontId="12" fillId="0" borderId="5" xfId="3" applyFont="1" applyFill="1" applyBorder="1" applyAlignment="1">
      <alignment horizontal="left"/>
    </xf>
    <xf numFmtId="0" fontId="8" fillId="0" borderId="5" xfId="3" applyFont="1" applyFill="1" applyBorder="1" applyAlignment="1">
      <alignment horizontal="left"/>
    </xf>
    <xf numFmtId="0" fontId="6" fillId="2" borderId="3" xfId="3" applyFont="1" applyFill="1" applyBorder="1" applyAlignment="1">
      <alignment horizontal="center" vertical="center"/>
    </xf>
    <xf numFmtId="0" fontId="6" fillId="2" borderId="27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17" fillId="0" borderId="5" xfId="3" applyFont="1" applyBorder="1" applyAlignment="1">
      <alignment horizontal="left"/>
    </xf>
    <xf numFmtId="0" fontId="9" fillId="0" borderId="5" xfId="3" applyFont="1" applyFill="1" applyBorder="1" applyAlignment="1">
      <alignment horizontal="left"/>
    </xf>
    <xf numFmtId="0" fontId="7" fillId="0" borderId="31" xfId="3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164" fontId="8" fillId="0" borderId="9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0" fontId="12" fillId="0" borderId="9" xfId="3" applyFont="1" applyBorder="1" applyAlignment="1">
      <alignment horizontal="left"/>
    </xf>
    <xf numFmtId="0" fontId="12" fillId="0" borderId="0" xfId="3" applyFont="1" applyBorder="1" applyAlignment="1">
      <alignment horizontal="left"/>
    </xf>
    <xf numFmtId="0" fontId="15" fillId="0" borderId="9" xfId="3" applyFont="1" applyBorder="1" applyAlignment="1">
      <alignment horizontal="left"/>
    </xf>
    <xf numFmtId="0" fontId="15" fillId="0" borderId="0" xfId="3" applyFont="1" applyBorder="1" applyAlignment="1">
      <alignment horizontal="left"/>
    </xf>
    <xf numFmtId="0" fontId="42" fillId="0" borderId="0" xfId="3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17" fillId="0" borderId="9" xfId="3" applyFont="1" applyFill="1" applyBorder="1" applyAlignment="1">
      <alignment horizontal="left"/>
    </xf>
    <xf numFmtId="0" fontId="17" fillId="0" borderId="0" xfId="3" applyFont="1" applyFill="1" applyBorder="1" applyAlignment="1">
      <alignment horizontal="left"/>
    </xf>
    <xf numFmtId="0" fontId="3" fillId="13" borderId="28" xfId="0" applyNumberFormat="1" applyFont="1" applyFill="1" applyBorder="1" applyAlignment="1">
      <alignment horizontal="center"/>
    </xf>
    <xf numFmtId="0" fontId="3" fillId="13" borderId="32" xfId="0" applyNumberFormat="1" applyFont="1" applyFill="1" applyBorder="1" applyAlignment="1">
      <alignment horizontal="center"/>
    </xf>
    <xf numFmtId="0" fontId="3" fillId="13" borderId="29" xfId="0" applyNumberFormat="1" applyFont="1" applyFill="1" applyBorder="1" applyAlignment="1">
      <alignment horizontal="center"/>
    </xf>
    <xf numFmtId="0" fontId="40" fillId="0" borderId="0" xfId="3" applyFont="1" applyFill="1" applyBorder="1" applyAlignment="1">
      <alignment horizontal="center" vertical="center"/>
    </xf>
    <xf numFmtId="0" fontId="41" fillId="0" borderId="0" xfId="3" applyFont="1" applyFill="1" applyBorder="1" applyAlignment="1">
      <alignment horizontal="left"/>
    </xf>
    <xf numFmtId="164" fontId="41" fillId="0" borderId="0" xfId="3" applyNumberFormat="1" applyFont="1" applyFill="1" applyBorder="1" applyAlignment="1">
      <alignment horizontal="left"/>
    </xf>
    <xf numFmtId="0" fontId="43" fillId="0" borderId="0" xfId="3" applyFont="1" applyFill="1" applyBorder="1" applyAlignment="1">
      <alignment horizontal="left"/>
    </xf>
    <xf numFmtId="0" fontId="14" fillId="0" borderId="9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/>
    </xf>
    <xf numFmtId="0" fontId="0" fillId="10" borderId="0" xfId="0" applyFill="1" applyAlignment="1">
      <alignment horizontal="center"/>
    </xf>
    <xf numFmtId="1" fontId="34" fillId="0" borderId="3" xfId="0" applyNumberFormat="1" applyFont="1" applyFill="1" applyBorder="1" applyAlignment="1">
      <alignment horizontal="center"/>
    </xf>
    <xf numFmtId="1" fontId="34" fillId="0" borderId="27" xfId="0" applyNumberFormat="1" applyFont="1" applyFill="1" applyBorder="1" applyAlignment="1">
      <alignment horizontal="center"/>
    </xf>
    <xf numFmtId="1" fontId="34" fillId="0" borderId="4" xfId="0" applyNumberFormat="1" applyFont="1" applyFill="1" applyBorder="1" applyAlignment="1">
      <alignment horizontal="center"/>
    </xf>
    <xf numFmtId="1" fontId="34" fillId="4" borderId="3" xfId="0" applyNumberFormat="1" applyFont="1" applyFill="1" applyBorder="1" applyAlignment="1">
      <alignment horizontal="center"/>
    </xf>
    <xf numFmtId="1" fontId="34" fillId="4" borderId="27" xfId="0" applyNumberFormat="1" applyFont="1" applyFill="1" applyBorder="1" applyAlignment="1">
      <alignment horizontal="center"/>
    </xf>
    <xf numFmtId="1" fontId="34" fillId="4" borderId="4" xfId="0" applyNumberFormat="1" applyFont="1" applyFill="1" applyBorder="1" applyAlignment="1">
      <alignment horizontal="center"/>
    </xf>
    <xf numFmtId="0" fontId="3" fillId="10" borderId="0" xfId="0" applyFont="1" applyFill="1" applyAlignment="1">
      <alignment horizontal="center"/>
    </xf>
  </cellXfs>
  <cellStyles count="16">
    <cellStyle name="Comma 2" xfId="5"/>
    <cellStyle name="Currency" xfId="1" builtinId="4"/>
    <cellStyle name="Currency 2 2" xfId="6"/>
    <cellStyle name="Currency 4 2" xfId="4"/>
    <cellStyle name="Currency 5" xfId="14"/>
    <cellStyle name="Normal" xfId="0" builtinId="0"/>
    <cellStyle name="Normal 2" xfId="7"/>
    <cellStyle name="Normal 2 2" xfId="3"/>
    <cellStyle name="Normal 3" xfId="15"/>
    <cellStyle name="Normal 4" xfId="8"/>
    <cellStyle name="Normal 5" xfId="9"/>
    <cellStyle name="Normal 6 2" xfId="10"/>
    <cellStyle name="Percent" xfId="2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Administrative%20Services-POS%20Policy%20Office/Rate%20Setting/Rate%20Projects/Family%20Stab-CMR%20414/Rate%20Review%20-%20FRCs%20April%201,%202017/4.%20Post-Hearing/POST%20HEARING%20ANALYSIS/FRC%20PH%20Analysis%20and%20FI%2011-9-16%20ka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"/>
      <sheetName val="KARA"/>
      <sheetName val="Fiscal Impact Update 11-8-16"/>
      <sheetName val="Models 11-1"/>
      <sheetName val="Fiscal Impact"/>
      <sheetName val="Satellite Add-On"/>
      <sheetName val="FRC Satellite"/>
      <sheetName val="FRC Model FULL"/>
      <sheetName val="Per Diem"/>
      <sheetName val="ExpenseAnalysis"/>
      <sheetName val="CAF Sp 2016"/>
      <sheetName val="CAF 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7">
          <cell r="BD27">
            <v>3.7504765535646155E-2</v>
          </cell>
        </row>
      </sheetData>
      <sheetData sheetId="11" refreshError="1">
        <row r="21">
          <cell r="AZ21">
            <v>2.0472364727519208E-2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1"/>
  <sheetViews>
    <sheetView tabSelected="1" topLeftCell="A76" zoomScale="80" zoomScaleNormal="80" zoomScaleSheetLayoutView="80" workbookViewId="0">
      <selection activeCell="O27" sqref="O27"/>
    </sheetView>
  </sheetViews>
  <sheetFormatPr defaultRowHeight="15" x14ac:dyDescent="0.25"/>
  <cols>
    <col min="2" max="2" width="21.7109375" bestFit="1" customWidth="1"/>
    <col min="3" max="3" width="33.28515625" bestFit="1" customWidth="1"/>
    <col min="4" max="4" width="14.140625" bestFit="1" customWidth="1"/>
    <col min="5" max="5" width="16.85546875" customWidth="1"/>
    <col min="6" max="6" width="14" bestFit="1" customWidth="1"/>
    <col min="7" max="7" width="4.7109375" customWidth="1"/>
    <col min="8" max="8" width="23.28515625" bestFit="1" customWidth="1"/>
    <col min="9" max="9" width="17.7109375" style="41" customWidth="1"/>
    <col min="10" max="10" width="27.7109375" customWidth="1"/>
    <col min="11" max="11" width="17.42578125" bestFit="1" customWidth="1"/>
    <col min="12" max="12" width="12" bestFit="1" customWidth="1"/>
    <col min="13" max="13" width="2.85546875" customWidth="1"/>
    <col min="15" max="15" width="8.85546875" style="159"/>
  </cols>
  <sheetData>
    <row r="1" spans="1:13" thickBot="1" x14ac:dyDescent="0.35"/>
    <row r="2" spans="1:13" ht="14.45" x14ac:dyDescent="0.3">
      <c r="B2" s="344" t="s">
        <v>169</v>
      </c>
      <c r="C2" s="345"/>
      <c r="D2" s="345"/>
      <c r="E2" s="345"/>
      <c r="F2" s="346"/>
      <c r="H2" s="353" t="s">
        <v>143</v>
      </c>
      <c r="I2" s="354"/>
      <c r="J2" s="354"/>
      <c r="K2" s="354"/>
      <c r="L2" s="355"/>
    </row>
    <row r="3" spans="1:13" ht="16.899999999999999" customHeight="1" thickBot="1" x14ac:dyDescent="0.35">
      <c r="B3" s="362" t="s">
        <v>0</v>
      </c>
      <c r="C3" s="363"/>
      <c r="D3" s="363"/>
      <c r="E3" s="363"/>
      <c r="F3" s="364"/>
      <c r="G3" s="41"/>
      <c r="H3" s="362" t="s">
        <v>0</v>
      </c>
      <c r="I3" s="363"/>
      <c r="J3" s="363"/>
      <c r="K3" s="363"/>
      <c r="L3" s="364"/>
    </row>
    <row r="4" spans="1:13" ht="14.45" x14ac:dyDescent="0.3">
      <c r="B4" s="51"/>
      <c r="C4" s="3"/>
      <c r="D4" s="4">
        <f>1000/260</f>
        <v>3.8461538461538463</v>
      </c>
      <c r="E4" s="5" t="s">
        <v>1</v>
      </c>
      <c r="F4" s="52">
        <f>D4*260</f>
        <v>1000</v>
      </c>
      <c r="G4" s="41"/>
      <c r="H4" s="51"/>
      <c r="I4" s="3"/>
      <c r="J4" s="4">
        <f>1000/260</f>
        <v>3.8461538461538463</v>
      </c>
      <c r="K4" s="5" t="s">
        <v>1</v>
      </c>
      <c r="L4" s="52">
        <f>J4*260</f>
        <v>1000</v>
      </c>
    </row>
    <row r="5" spans="1:13" ht="14.45" x14ac:dyDescent="0.3">
      <c r="B5" s="45"/>
      <c r="C5" s="7"/>
      <c r="D5" s="8" t="s">
        <v>2</v>
      </c>
      <c r="E5" s="9"/>
      <c r="F5" s="53"/>
      <c r="G5" s="41"/>
      <c r="H5" s="45"/>
      <c r="I5" s="7"/>
      <c r="J5" s="8" t="s">
        <v>2</v>
      </c>
      <c r="K5" s="9"/>
      <c r="L5" s="53"/>
    </row>
    <row r="6" spans="1:13" ht="14.45" x14ac:dyDescent="0.3">
      <c r="B6" s="54"/>
      <c r="C6" s="11"/>
      <c r="D6" s="12" t="s">
        <v>3</v>
      </c>
      <c r="E6" s="12" t="s">
        <v>4</v>
      </c>
      <c r="F6" s="55" t="s">
        <v>5</v>
      </c>
      <c r="G6" s="41"/>
      <c r="H6" s="54"/>
      <c r="I6" s="11"/>
      <c r="J6" s="12" t="s">
        <v>3</v>
      </c>
      <c r="K6" s="12" t="s">
        <v>4</v>
      </c>
      <c r="L6" s="55" t="s">
        <v>5</v>
      </c>
    </row>
    <row r="7" spans="1:13" ht="14.45" x14ac:dyDescent="0.3">
      <c r="A7" s="13"/>
      <c r="B7" s="369" t="s">
        <v>6</v>
      </c>
      <c r="C7" s="366"/>
      <c r="D7" s="14">
        <v>54801</v>
      </c>
      <c r="E7" s="15">
        <v>1</v>
      </c>
      <c r="F7" s="56">
        <f>D7*E7</f>
        <v>54801</v>
      </c>
      <c r="G7" s="41"/>
      <c r="H7" s="369" t="s">
        <v>6</v>
      </c>
      <c r="I7" s="366"/>
      <c r="J7" s="14">
        <f>54801*(2.05%+1)*(3.75%+1)*(0.58%+1)</f>
        <v>58358.111469108757</v>
      </c>
      <c r="K7" s="15">
        <v>1</v>
      </c>
      <c r="L7" s="56">
        <f>J7*K7</f>
        <v>58358.111469108757</v>
      </c>
    </row>
    <row r="8" spans="1:13" ht="18.75" customHeight="1" x14ac:dyDescent="0.3">
      <c r="B8" s="370" t="s">
        <v>7</v>
      </c>
      <c r="C8" s="368"/>
      <c r="D8" s="14">
        <v>52305</v>
      </c>
      <c r="E8" s="16">
        <v>1</v>
      </c>
      <c r="F8" s="56">
        <f>D8*E8</f>
        <v>52305</v>
      </c>
      <c r="G8" s="41"/>
      <c r="H8" s="370" t="s">
        <v>7</v>
      </c>
      <c r="I8" s="368"/>
      <c r="J8" s="14">
        <f>52305*(2.05%+1)*(3.75%+1)*(0.58%+1)</f>
        <v>55700.097085668756</v>
      </c>
      <c r="K8" s="16">
        <v>1</v>
      </c>
      <c r="L8" s="56">
        <f>J8*K8</f>
        <v>55700.097085668756</v>
      </c>
    </row>
    <row r="9" spans="1:13" ht="14.45" x14ac:dyDescent="0.3">
      <c r="B9" s="371" t="s">
        <v>8</v>
      </c>
      <c r="C9" s="372"/>
      <c r="D9" s="17">
        <v>35000</v>
      </c>
      <c r="E9" s="15">
        <v>2</v>
      </c>
      <c r="F9" s="165">
        <f>D9*E9</f>
        <v>70000</v>
      </c>
      <c r="G9" s="41"/>
      <c r="H9" s="371" t="s">
        <v>8</v>
      </c>
      <c r="I9" s="372"/>
      <c r="J9" s="17">
        <f>35000*(2.05%+1)*(3.75%+1)*(0.58%+1)</f>
        <v>37271.836306249999</v>
      </c>
      <c r="K9" s="15">
        <v>2</v>
      </c>
      <c r="L9" s="165">
        <f>J9*K9</f>
        <v>74543.672612499999</v>
      </c>
    </row>
    <row r="10" spans="1:13" ht="14.45" x14ac:dyDescent="0.3">
      <c r="B10" s="373" t="s">
        <v>9</v>
      </c>
      <c r="C10" s="374"/>
      <c r="D10" s="18">
        <v>42000</v>
      </c>
      <c r="E10" s="19">
        <v>1</v>
      </c>
      <c r="F10" s="166">
        <f>D10*E10</f>
        <v>42000</v>
      </c>
      <c r="G10" s="41"/>
      <c r="H10" s="373" t="s">
        <v>9</v>
      </c>
      <c r="I10" s="374"/>
      <c r="J10" s="18">
        <f>42000*(2.05%+1)*(3.75%+1)*(0.58%+1)</f>
        <v>44726.203567500008</v>
      </c>
      <c r="K10" s="19">
        <v>1</v>
      </c>
      <c r="L10" s="166">
        <f>J10*K10</f>
        <v>44726.203567500008</v>
      </c>
    </row>
    <row r="11" spans="1:13" ht="14.45" x14ac:dyDescent="0.3">
      <c r="A11" s="13"/>
      <c r="B11" s="375" t="s">
        <v>10</v>
      </c>
      <c r="C11" s="376"/>
      <c r="D11" s="20">
        <v>29821</v>
      </c>
      <c r="E11" s="21">
        <v>0.5</v>
      </c>
      <c r="F11" s="167">
        <f>D11*E11</f>
        <v>14910.5</v>
      </c>
      <c r="G11" s="41"/>
      <c r="H11" s="375" t="s">
        <v>10</v>
      </c>
      <c r="I11" s="376"/>
      <c r="J11" s="20">
        <f>29821*(2.05%+1)*(3.75%+1)*(0.58%+1)</f>
        <v>31756.669442533756</v>
      </c>
      <c r="K11" s="21">
        <v>0.5</v>
      </c>
      <c r="L11" s="167">
        <f>J11*K11</f>
        <v>15878.334721266878</v>
      </c>
    </row>
    <row r="12" spans="1:13" ht="14.45" x14ac:dyDescent="0.3">
      <c r="B12" s="57" t="s">
        <v>11</v>
      </c>
      <c r="C12" s="23"/>
      <c r="D12" s="23"/>
      <c r="E12" s="24">
        <f>SUM(E7:E11)</f>
        <v>5.5</v>
      </c>
      <c r="F12" s="58">
        <f>SUM(F7:F11)</f>
        <v>234016.5</v>
      </c>
      <c r="G12" s="41"/>
      <c r="H12" s="57" t="s">
        <v>11</v>
      </c>
      <c r="I12" s="23"/>
      <c r="J12" s="23"/>
      <c r="K12" s="24">
        <f>SUM(K7:K11)</f>
        <v>5.5</v>
      </c>
      <c r="L12" s="58">
        <f>SUM(L7:L11)</f>
        <v>249206.41945604439</v>
      </c>
      <c r="M12" s="120"/>
    </row>
    <row r="13" spans="1:13" ht="14.45" x14ac:dyDescent="0.3">
      <c r="B13" s="51" t="s">
        <v>12</v>
      </c>
      <c r="C13" s="9"/>
      <c r="D13" s="9"/>
      <c r="E13" s="5" t="s">
        <v>13</v>
      </c>
      <c r="F13" s="53"/>
      <c r="G13" s="41"/>
      <c r="H13" s="51" t="s">
        <v>12</v>
      </c>
      <c r="I13" s="9"/>
      <c r="J13" s="9"/>
      <c r="K13" s="5" t="s">
        <v>13</v>
      </c>
      <c r="L13" s="53"/>
      <c r="M13" s="120"/>
    </row>
    <row r="14" spans="1:13" ht="14.45" x14ac:dyDescent="0.3">
      <c r="B14" s="45" t="s">
        <v>14</v>
      </c>
      <c r="C14" s="9"/>
      <c r="D14" s="25">
        <v>0.2485</v>
      </c>
      <c r="E14" s="9"/>
      <c r="F14" s="56">
        <f>D14*F12</f>
        <v>58153.100250000003</v>
      </c>
      <c r="G14" s="41"/>
      <c r="H14" s="45" t="s">
        <v>14</v>
      </c>
      <c r="I14" s="9"/>
      <c r="J14" s="25">
        <v>0.2485</v>
      </c>
      <c r="K14" s="9"/>
      <c r="L14" s="56">
        <f>J14*L12</f>
        <v>61927.795234827026</v>
      </c>
    </row>
    <row r="15" spans="1:13" ht="14.45" x14ac:dyDescent="0.3">
      <c r="B15" s="57" t="s">
        <v>15</v>
      </c>
      <c r="C15" s="23"/>
      <c r="D15" s="23"/>
      <c r="E15" s="26"/>
      <c r="F15" s="58">
        <f>F14+F12</f>
        <v>292169.60025000002</v>
      </c>
      <c r="G15" s="41"/>
      <c r="H15" s="57" t="s">
        <v>15</v>
      </c>
      <c r="I15" s="23"/>
      <c r="J15" s="23"/>
      <c r="K15" s="26"/>
      <c r="L15" s="58">
        <f>L14+L12</f>
        <v>311134.21469087142</v>
      </c>
    </row>
    <row r="16" spans="1:13" ht="14.45" x14ac:dyDescent="0.3">
      <c r="B16" s="377" t="s">
        <v>16</v>
      </c>
      <c r="C16" s="378"/>
      <c r="D16" s="27">
        <v>50000</v>
      </c>
      <c r="E16" s="15">
        <v>1</v>
      </c>
      <c r="F16" s="56">
        <f>D16*E16</f>
        <v>50000</v>
      </c>
      <c r="G16" s="41"/>
      <c r="H16" s="377" t="s">
        <v>16</v>
      </c>
      <c r="I16" s="378"/>
      <c r="J16" s="27">
        <f>50000*(2.05%+1)*(3.75%+1)*(0.58%+1)</f>
        <v>53245.480437500009</v>
      </c>
      <c r="K16" s="15">
        <v>1</v>
      </c>
      <c r="L16" s="56">
        <f>J16*K16</f>
        <v>53245.480437500009</v>
      </c>
    </row>
    <row r="17" spans="2:14" ht="14.45" x14ac:dyDescent="0.3">
      <c r="B17" s="377" t="s">
        <v>17</v>
      </c>
      <c r="C17" s="378"/>
      <c r="D17" s="27">
        <v>32232</v>
      </c>
      <c r="E17" s="15">
        <v>1</v>
      </c>
      <c r="F17" s="56">
        <f>D17*E17</f>
        <v>32232</v>
      </c>
      <c r="G17" s="41"/>
      <c r="H17" s="377" t="s">
        <v>17</v>
      </c>
      <c r="I17" s="378"/>
      <c r="J17" s="27">
        <f>32232*(2.05%+1)*(3.75%+1)*(0.58%+1)</f>
        <v>34324.16650923001</v>
      </c>
      <c r="K17" s="15">
        <v>1</v>
      </c>
      <c r="L17" s="56">
        <f>J17*K17</f>
        <v>34324.16650923001</v>
      </c>
    </row>
    <row r="18" spans="2:14" ht="14.45" x14ac:dyDescent="0.3">
      <c r="B18" s="168" t="s">
        <v>18</v>
      </c>
      <c r="C18" s="164"/>
      <c r="D18" s="28">
        <v>0.35</v>
      </c>
      <c r="E18" s="27"/>
      <c r="F18" s="61">
        <f>SUM(F16:F17)*D18</f>
        <v>28781.199999999997</v>
      </c>
      <c r="G18" s="41"/>
      <c r="H18" s="300" t="s">
        <v>18</v>
      </c>
      <c r="I18" s="299"/>
      <c r="J18" s="28">
        <v>0.35</v>
      </c>
      <c r="K18" s="27"/>
      <c r="L18" s="61">
        <f>SUM(L16:L17)*J18</f>
        <v>30649.376431355504</v>
      </c>
    </row>
    <row r="19" spans="2:14" ht="14.45" x14ac:dyDescent="0.3">
      <c r="B19" s="168"/>
      <c r="C19" s="164"/>
      <c r="D19" s="29"/>
      <c r="E19" s="27"/>
      <c r="F19" s="56"/>
      <c r="G19" s="41"/>
      <c r="H19" s="300"/>
      <c r="I19" s="299"/>
      <c r="J19" s="29"/>
      <c r="K19" s="27"/>
      <c r="L19" s="56"/>
    </row>
    <row r="20" spans="2:14" ht="14.45" x14ac:dyDescent="0.3">
      <c r="B20" s="356" t="s">
        <v>19</v>
      </c>
      <c r="C20" s="357"/>
      <c r="D20" s="30"/>
      <c r="E20" s="27">
        <v>1435.25</v>
      </c>
      <c r="F20" s="61">
        <f>E20*E12</f>
        <v>7893.875</v>
      </c>
      <c r="G20" s="41"/>
      <c r="H20" s="356" t="s">
        <v>19</v>
      </c>
      <c r="I20" s="357"/>
      <c r="J20" s="30"/>
      <c r="K20" s="27">
        <f>1435*(2.05%+1)*(3.75%+1)*(0.58%+1)</f>
        <v>1528.1452885562503</v>
      </c>
      <c r="L20" s="61">
        <f>K20*K12</f>
        <v>8404.7990870593767</v>
      </c>
    </row>
    <row r="21" spans="2:14" ht="14.45" x14ac:dyDescent="0.3">
      <c r="B21" s="356" t="s">
        <v>20</v>
      </c>
      <c r="C21" s="357"/>
      <c r="D21" s="30"/>
      <c r="E21" s="31">
        <v>30</v>
      </c>
      <c r="F21" s="61">
        <f>E21*F4</f>
        <v>30000</v>
      </c>
      <c r="G21" s="41"/>
      <c r="H21" s="356" t="s">
        <v>20</v>
      </c>
      <c r="I21" s="357"/>
      <c r="J21" s="30"/>
      <c r="K21" s="31">
        <f>30*(2.05%+1)*(3.75%+1)*(0.58%+1)</f>
        <v>31.947288262500003</v>
      </c>
      <c r="L21" s="61">
        <f>K21*L4</f>
        <v>31947.288262500002</v>
      </c>
    </row>
    <row r="22" spans="2:14" ht="14.45" x14ac:dyDescent="0.3">
      <c r="B22" s="358" t="s">
        <v>21</v>
      </c>
      <c r="C22" s="359"/>
      <c r="D22" s="30"/>
      <c r="E22" s="31">
        <v>810</v>
      </c>
      <c r="F22" s="61">
        <f>E22*E12</f>
        <v>4455</v>
      </c>
      <c r="G22" s="41"/>
      <c r="H22" s="358" t="s">
        <v>21</v>
      </c>
      <c r="I22" s="359"/>
      <c r="J22" s="30"/>
      <c r="K22" s="27">
        <f>810*(2.05%+1)*(3.75%+1)*(0.58%+1)</f>
        <v>862.57678308750019</v>
      </c>
      <c r="L22" s="61">
        <f>K22*K12</f>
        <v>4744.1723069812506</v>
      </c>
    </row>
    <row r="23" spans="2:14" ht="14.45" x14ac:dyDescent="0.3">
      <c r="B23" s="358" t="s">
        <v>22</v>
      </c>
      <c r="C23" s="359"/>
      <c r="D23" s="30"/>
      <c r="E23" s="27">
        <v>1282.1659565169891</v>
      </c>
      <c r="F23" s="61">
        <f>E23*E12</f>
        <v>7051.9127608434401</v>
      </c>
      <c r="G23" s="41"/>
      <c r="H23" s="358" t="s">
        <v>22</v>
      </c>
      <c r="I23" s="359"/>
      <c r="J23" s="30"/>
      <c r="K23" s="27">
        <f>1282*(2.05%+1)*(3.75%+1)*(0.58%+1)</f>
        <v>1365.2141184175</v>
      </c>
      <c r="L23" s="61">
        <f>K23*K12</f>
        <v>7508.6776512962497</v>
      </c>
    </row>
    <row r="24" spans="2:14" ht="14.45" x14ac:dyDescent="0.3">
      <c r="B24" s="360" t="s">
        <v>23</v>
      </c>
      <c r="C24" s="361"/>
      <c r="D24" s="32" t="s">
        <v>24</v>
      </c>
      <c r="E24" s="31">
        <v>16.309999999999999</v>
      </c>
      <c r="F24" s="84">
        <f>16.31*2650</f>
        <v>43221.5</v>
      </c>
      <c r="G24" s="41"/>
      <c r="H24" s="360" t="s">
        <v>23</v>
      </c>
      <c r="I24" s="361"/>
      <c r="J24" s="32" t="s">
        <v>24</v>
      </c>
      <c r="K24" s="31">
        <f>16.31*(2.05%+1)*(3.75%+1)*(0.58%+1)</f>
        <v>17.368675718712499</v>
      </c>
      <c r="L24" s="84">
        <f>K24*2650</f>
        <v>46026.990654588124</v>
      </c>
    </row>
    <row r="25" spans="2:14" ht="14.45" x14ac:dyDescent="0.3">
      <c r="B25" s="57" t="s">
        <v>25</v>
      </c>
      <c r="C25" s="23"/>
      <c r="D25" s="23"/>
      <c r="E25" s="23"/>
      <c r="F25" s="58">
        <f>SUM(F15:F24)</f>
        <v>495805.08801084349</v>
      </c>
      <c r="G25" s="41"/>
      <c r="H25" s="57" t="s">
        <v>25</v>
      </c>
      <c r="I25" s="23"/>
      <c r="J25" s="23"/>
      <c r="K25" s="23"/>
      <c r="L25" s="58">
        <f>SUM(L15:L24)</f>
        <v>527985.16603138193</v>
      </c>
    </row>
    <row r="26" spans="2:14" ht="14.45" x14ac:dyDescent="0.3">
      <c r="B26" s="51"/>
      <c r="C26" s="33" t="s">
        <v>26</v>
      </c>
      <c r="D26" s="33"/>
      <c r="E26" s="34">
        <f>F27/D27</f>
        <v>384791.88801084348</v>
      </c>
      <c r="F26" s="169"/>
      <c r="G26" s="41"/>
      <c r="H26" s="51"/>
      <c r="I26" s="33" t="s">
        <v>26</v>
      </c>
      <c r="J26" s="33"/>
      <c r="K26" s="34">
        <f>L27/J27</f>
        <v>409766.14265329647</v>
      </c>
      <c r="L26" s="169"/>
    </row>
    <row r="27" spans="2:14" ht="14.45" x14ac:dyDescent="0.3">
      <c r="B27" s="45" t="s">
        <v>27</v>
      </c>
      <c r="C27" s="9"/>
      <c r="D27" s="25">
        <v>0.11</v>
      </c>
      <c r="E27" s="9"/>
      <c r="F27" s="61">
        <f>D27*(F25-F16-F17-F18)</f>
        <v>42327.107681192785</v>
      </c>
      <c r="G27" s="41"/>
      <c r="H27" s="45" t="s">
        <v>27</v>
      </c>
      <c r="I27" s="9"/>
      <c r="J27" s="301">
        <v>0.12</v>
      </c>
      <c r="K27" s="9"/>
      <c r="L27" s="61">
        <f>J27*(L25-L16-L17-L18)</f>
        <v>49171.937118395574</v>
      </c>
    </row>
    <row r="28" spans="2:14" thickBot="1" x14ac:dyDescent="0.35">
      <c r="B28" s="46" t="s">
        <v>28</v>
      </c>
      <c r="C28" s="36"/>
      <c r="D28" s="36"/>
      <c r="E28" s="36"/>
      <c r="F28" s="66">
        <f>SUM(F25:F27)</f>
        <v>538132.1956920363</v>
      </c>
      <c r="G28" s="41"/>
      <c r="H28" s="46" t="s">
        <v>28</v>
      </c>
      <c r="I28" s="36"/>
      <c r="J28" s="233"/>
      <c r="K28" s="36"/>
      <c r="L28" s="66">
        <f>SUM(L25:L27)</f>
        <v>577157.10314977751</v>
      </c>
    </row>
    <row r="29" spans="2:14" thickTop="1" x14ac:dyDescent="0.3">
      <c r="B29" s="45" t="s">
        <v>29</v>
      </c>
      <c r="C29" s="9"/>
      <c r="D29" s="37">
        <f>'[1]CAF '!AZ21</f>
        <v>2.0472364727519208E-2</v>
      </c>
      <c r="E29" s="9"/>
      <c r="F29" s="67">
        <f>F28*(1+D29)</f>
        <v>549149.03427386435</v>
      </c>
      <c r="G29" s="120"/>
      <c r="H29" s="175" t="s">
        <v>146</v>
      </c>
      <c r="I29" s="9"/>
      <c r="J29" s="190">
        <f>'Fall 2018'!BQ39</f>
        <v>2.3531493276716206E-2</v>
      </c>
      <c r="K29" s="9"/>
      <c r="L29" s="67">
        <f>L28*(1+J29)</f>
        <v>590738.47164215543</v>
      </c>
      <c r="M29" s="120"/>
    </row>
    <row r="30" spans="2:14" ht="16.5" customHeight="1" x14ac:dyDescent="0.3">
      <c r="B30" s="170"/>
      <c r="C30" s="38"/>
      <c r="D30" s="39"/>
      <c r="E30" s="40"/>
      <c r="F30" s="171"/>
      <c r="G30" s="41"/>
      <c r="H30" s="311" t="s">
        <v>168</v>
      </c>
      <c r="I30" s="181"/>
      <c r="J30" s="289">
        <v>6.3E-3</v>
      </c>
      <c r="K30" s="181"/>
      <c r="L30" s="312">
        <f>L12*(J29+1)*J30</f>
        <v>1606.9448974319293</v>
      </c>
    </row>
    <row r="31" spans="2:14" thickBot="1" x14ac:dyDescent="0.35">
      <c r="B31" s="172"/>
      <c r="C31" s="42" t="s">
        <v>30</v>
      </c>
      <c r="D31" s="43"/>
      <c r="E31" s="44" t="s">
        <v>28</v>
      </c>
      <c r="F31" s="174">
        <f>F29/12</f>
        <v>45762.419522822027</v>
      </c>
      <c r="G31" s="41"/>
      <c r="H31" s="172"/>
      <c r="I31" s="50"/>
      <c r="J31" s="50"/>
      <c r="K31" s="50"/>
      <c r="L31" s="173"/>
      <c r="N31" s="47"/>
    </row>
    <row r="32" spans="2:14" thickBot="1" x14ac:dyDescent="0.35">
      <c r="B32" s="175" t="s">
        <v>31</v>
      </c>
      <c r="C32" s="109"/>
      <c r="D32" s="110">
        <f>'[1]CAF Sp 2016'!BD27</f>
        <v>3.7504765535646155E-2</v>
      </c>
      <c r="E32" s="111">
        <f>F29*(1+$D$32)</f>
        <v>569744.74004843214</v>
      </c>
      <c r="F32" s="309">
        <f>F31*(1+D32)</f>
        <v>47478.728337369343</v>
      </c>
      <c r="G32" s="41"/>
      <c r="H32" s="172"/>
      <c r="I32" s="42" t="s">
        <v>30</v>
      </c>
      <c r="J32" s="43"/>
      <c r="K32" s="44" t="s">
        <v>28</v>
      </c>
      <c r="L32" s="174"/>
      <c r="M32" s="47"/>
      <c r="N32" s="47"/>
    </row>
    <row r="33" spans="1:15" thickBot="1" x14ac:dyDescent="0.35">
      <c r="B33" s="175" t="s">
        <v>145</v>
      </c>
      <c r="C33" s="109"/>
      <c r="D33" s="110">
        <f>'Fall 2018'!BQ23</f>
        <v>3.1948881789137015E-3</v>
      </c>
      <c r="E33" s="111">
        <f>E32*(D33+1)</f>
        <v>571565.0107834111</v>
      </c>
      <c r="F33" s="317">
        <f>E33/12</f>
        <v>47630.41756528426</v>
      </c>
      <c r="H33" s="175"/>
      <c r="I33" s="109"/>
      <c r="J33" s="110"/>
      <c r="K33" s="111">
        <f>L29+L30</f>
        <v>592345.41653958731</v>
      </c>
      <c r="L33" s="317">
        <f>K33/12</f>
        <v>49362.118044965609</v>
      </c>
      <c r="M33" s="121"/>
      <c r="O33" s="121"/>
    </row>
    <row r="34" spans="1:15" thickBot="1" x14ac:dyDescent="0.35">
      <c r="B34" s="305"/>
      <c r="C34" s="306"/>
      <c r="D34" s="307"/>
      <c r="E34" s="308"/>
      <c r="F34" s="316"/>
      <c r="H34" s="310"/>
      <c r="I34" s="302"/>
      <c r="J34" s="303"/>
      <c r="K34" s="304"/>
      <c r="L34" s="315"/>
    </row>
    <row r="35" spans="1:15" ht="16.5" customHeight="1" thickBot="1" x14ac:dyDescent="0.75">
      <c r="A35" s="1"/>
      <c r="B35" s="13"/>
      <c r="C35" s="49"/>
      <c r="D35" s="49"/>
      <c r="E35" s="49"/>
      <c r="F35" s="13"/>
      <c r="I35" s="122"/>
    </row>
    <row r="36" spans="1:15" ht="16.149999999999999" thickBot="1" x14ac:dyDescent="0.35">
      <c r="B36" s="379" t="s">
        <v>170</v>
      </c>
      <c r="C36" s="380"/>
      <c r="D36" s="380"/>
      <c r="E36" s="380"/>
      <c r="F36" s="381"/>
      <c r="H36" s="350" t="s">
        <v>143</v>
      </c>
      <c r="I36" s="351"/>
      <c r="J36" s="351"/>
      <c r="K36" s="351"/>
      <c r="L36" s="352"/>
    </row>
    <row r="37" spans="1:15" ht="18.600000000000001" thickBot="1" x14ac:dyDescent="0.35">
      <c r="B37" s="362" t="s">
        <v>151</v>
      </c>
      <c r="C37" s="363"/>
      <c r="D37" s="363"/>
      <c r="E37" s="363"/>
      <c r="F37" s="364"/>
      <c r="H37" s="362" t="s">
        <v>151</v>
      </c>
      <c r="I37" s="363"/>
      <c r="J37" s="363"/>
      <c r="K37" s="363"/>
      <c r="L37" s="364"/>
    </row>
    <row r="38" spans="1:15" ht="14.45" x14ac:dyDescent="0.3">
      <c r="B38" s="51"/>
      <c r="C38" s="3"/>
      <c r="D38" s="4">
        <v>0.76923076923076927</v>
      </c>
      <c r="E38" s="5" t="s">
        <v>32</v>
      </c>
      <c r="F38" s="52">
        <v>200</v>
      </c>
      <c r="H38" s="2"/>
      <c r="I38" s="3"/>
      <c r="J38" s="4">
        <v>0.76923076923076927</v>
      </c>
      <c r="K38" s="5" t="s">
        <v>32</v>
      </c>
      <c r="L38" s="71">
        <v>200</v>
      </c>
    </row>
    <row r="39" spans="1:15" ht="14.45" x14ac:dyDescent="0.3">
      <c r="B39" s="45"/>
      <c r="C39" s="7"/>
      <c r="D39" s="8" t="s">
        <v>2</v>
      </c>
      <c r="E39" s="9"/>
      <c r="F39" s="53"/>
      <c r="H39" s="6"/>
      <c r="I39" s="7"/>
      <c r="J39" s="8" t="s">
        <v>2</v>
      </c>
      <c r="K39" s="9"/>
      <c r="L39" s="72"/>
    </row>
    <row r="40" spans="1:15" ht="14.45" x14ac:dyDescent="0.3">
      <c r="B40" s="54"/>
      <c r="C40" s="11"/>
      <c r="D40" s="12" t="s">
        <v>3</v>
      </c>
      <c r="E40" s="12" t="s">
        <v>4</v>
      </c>
      <c r="F40" s="55" t="s">
        <v>5</v>
      </c>
      <c r="H40" s="10"/>
      <c r="I40" s="11"/>
      <c r="J40" s="12" t="s">
        <v>3</v>
      </c>
      <c r="K40" s="12" t="s">
        <v>4</v>
      </c>
      <c r="L40" s="73" t="s">
        <v>5</v>
      </c>
    </row>
    <row r="41" spans="1:15" ht="14.45" x14ac:dyDescent="0.3">
      <c r="B41" s="369" t="s">
        <v>6</v>
      </c>
      <c r="C41" s="366"/>
      <c r="D41" s="14">
        <v>54801</v>
      </c>
      <c r="E41" s="16">
        <v>0</v>
      </c>
      <c r="F41" s="56">
        <v>0</v>
      </c>
      <c r="H41" s="365" t="s">
        <v>6</v>
      </c>
      <c r="I41" s="366"/>
      <c r="J41" s="14">
        <f>J7</f>
        <v>58358.111469108757</v>
      </c>
      <c r="K41" s="16">
        <v>0</v>
      </c>
      <c r="L41" s="74">
        <f>K41*J41</f>
        <v>0</v>
      </c>
    </row>
    <row r="42" spans="1:15" ht="14.45" x14ac:dyDescent="0.3">
      <c r="B42" s="370" t="s">
        <v>7</v>
      </c>
      <c r="C42" s="368"/>
      <c r="D42" s="14">
        <v>52305</v>
      </c>
      <c r="E42" s="16">
        <v>1</v>
      </c>
      <c r="F42" s="56">
        <v>52305</v>
      </c>
      <c r="H42" s="367" t="s">
        <v>7</v>
      </c>
      <c r="I42" s="368"/>
      <c r="J42" s="14">
        <f>J8</f>
        <v>55700.097085668756</v>
      </c>
      <c r="K42" s="16">
        <v>1</v>
      </c>
      <c r="L42" s="74">
        <f t="shared" ref="L42:L45" si="0">K42*J42</f>
        <v>55700.097085668756</v>
      </c>
    </row>
    <row r="43" spans="1:15" ht="14.45" x14ac:dyDescent="0.3">
      <c r="B43" s="371" t="s">
        <v>8</v>
      </c>
      <c r="C43" s="372"/>
      <c r="D43" s="17">
        <v>35000</v>
      </c>
      <c r="E43" s="15">
        <v>1</v>
      </c>
      <c r="F43" s="165">
        <v>35000</v>
      </c>
      <c r="H43" s="384" t="s">
        <v>8</v>
      </c>
      <c r="I43" s="372"/>
      <c r="J43" s="14">
        <f>J9</f>
        <v>37271.836306249999</v>
      </c>
      <c r="K43" s="15">
        <v>1</v>
      </c>
      <c r="L43" s="74">
        <f t="shared" si="0"/>
        <v>37271.836306249999</v>
      </c>
    </row>
    <row r="44" spans="1:15" ht="14.45" x14ac:dyDescent="0.3">
      <c r="B44" s="373" t="s">
        <v>9</v>
      </c>
      <c r="C44" s="374"/>
      <c r="D44" s="18">
        <v>42000</v>
      </c>
      <c r="E44" s="19">
        <v>0.5</v>
      </c>
      <c r="F44" s="166">
        <v>21000</v>
      </c>
      <c r="H44" s="385" t="s">
        <v>9</v>
      </c>
      <c r="I44" s="374"/>
      <c r="J44" s="14">
        <f>J10</f>
        <v>44726.203567500008</v>
      </c>
      <c r="K44" s="19">
        <v>0.5</v>
      </c>
      <c r="L44" s="74">
        <f t="shared" si="0"/>
        <v>22363.101783750004</v>
      </c>
    </row>
    <row r="45" spans="1:15" ht="14.45" x14ac:dyDescent="0.3">
      <c r="B45" s="375" t="s">
        <v>10</v>
      </c>
      <c r="C45" s="376"/>
      <c r="D45" s="20">
        <v>29821</v>
      </c>
      <c r="E45" s="19">
        <v>0</v>
      </c>
      <c r="F45" s="167">
        <v>0</v>
      </c>
      <c r="H45" s="382" t="s">
        <v>10</v>
      </c>
      <c r="I45" s="376"/>
      <c r="J45" s="14">
        <f>J11</f>
        <v>31756.669442533756</v>
      </c>
      <c r="K45" s="19">
        <v>0</v>
      </c>
      <c r="L45" s="74">
        <f t="shared" si="0"/>
        <v>0</v>
      </c>
    </row>
    <row r="46" spans="1:15" ht="14.45" x14ac:dyDescent="0.3">
      <c r="B46" s="57" t="s">
        <v>11</v>
      </c>
      <c r="C46" s="23"/>
      <c r="D46" s="23"/>
      <c r="E46" s="24">
        <v>2.5</v>
      </c>
      <c r="F46" s="58">
        <v>108305</v>
      </c>
      <c r="H46" s="22" t="s">
        <v>11</v>
      </c>
      <c r="I46" s="23"/>
      <c r="J46" s="23"/>
      <c r="K46" s="24">
        <v>2.5</v>
      </c>
      <c r="L46" s="75">
        <f>SUM(L41:L45)</f>
        <v>115335.03517566875</v>
      </c>
    </row>
    <row r="47" spans="1:15" ht="14.45" x14ac:dyDescent="0.3">
      <c r="B47" s="51" t="s">
        <v>12</v>
      </c>
      <c r="C47" s="9"/>
      <c r="D47" s="9"/>
      <c r="E47" s="5" t="s">
        <v>13</v>
      </c>
      <c r="F47" s="53"/>
      <c r="H47" s="2" t="s">
        <v>12</v>
      </c>
      <c r="I47" s="9"/>
      <c r="J47" s="9"/>
      <c r="K47" s="5" t="s">
        <v>13</v>
      </c>
      <c r="L47" s="72"/>
    </row>
    <row r="48" spans="1:15" ht="14.45" x14ac:dyDescent="0.3">
      <c r="B48" s="45" t="s">
        <v>14</v>
      </c>
      <c r="C48" s="9"/>
      <c r="D48" s="25">
        <v>0.2485</v>
      </c>
      <c r="E48" s="9"/>
      <c r="F48" s="56">
        <v>26913.7925</v>
      </c>
      <c r="H48" s="6" t="s">
        <v>14</v>
      </c>
      <c r="I48" s="9"/>
      <c r="J48" s="25">
        <v>0.2485</v>
      </c>
      <c r="K48" s="9"/>
      <c r="L48" s="74">
        <f>L46*J48</f>
        <v>28660.756241153682</v>
      </c>
    </row>
    <row r="49" spans="2:15" ht="14.45" x14ac:dyDescent="0.3">
      <c r="B49" s="57" t="s">
        <v>15</v>
      </c>
      <c r="C49" s="23"/>
      <c r="D49" s="23"/>
      <c r="E49" s="26"/>
      <c r="F49" s="58">
        <v>135218.79250000001</v>
      </c>
      <c r="H49" s="22" t="s">
        <v>15</v>
      </c>
      <c r="I49" s="23"/>
      <c r="J49" s="23"/>
      <c r="K49" s="26"/>
      <c r="L49" s="75">
        <f>L48+L46</f>
        <v>143995.79141682244</v>
      </c>
    </row>
    <row r="50" spans="2:15" ht="14.45" x14ac:dyDescent="0.3">
      <c r="B50" s="356" t="s">
        <v>19</v>
      </c>
      <c r="C50" s="357"/>
      <c r="D50" s="30"/>
      <c r="E50" s="27">
        <v>1435.25</v>
      </c>
      <c r="F50" s="61">
        <v>3588.125</v>
      </c>
      <c r="H50" s="383" t="s">
        <v>19</v>
      </c>
      <c r="I50" s="357"/>
      <c r="J50" s="30"/>
      <c r="K50" s="27">
        <f>1435*(2.05%+1)*(3.75%+1)*(0.58%+1)</f>
        <v>1528.1452885562503</v>
      </c>
      <c r="L50" s="76">
        <f>K50*K46</f>
        <v>3820.3632213906258</v>
      </c>
    </row>
    <row r="51" spans="2:15" ht="14.45" x14ac:dyDescent="0.3">
      <c r="B51" s="356" t="s">
        <v>20</v>
      </c>
      <c r="C51" s="357"/>
      <c r="D51" s="30"/>
      <c r="E51" s="27">
        <v>50</v>
      </c>
      <c r="F51" s="61">
        <v>10000</v>
      </c>
      <c r="H51" s="383" t="s">
        <v>20</v>
      </c>
      <c r="I51" s="357"/>
      <c r="J51" s="30"/>
      <c r="K51" s="27">
        <f>50*(2.05%+1)*(3.75%+1)*(0.58%+1)</f>
        <v>53.245480437500007</v>
      </c>
      <c r="L51" s="76">
        <f>K51*L38</f>
        <v>10649.096087500002</v>
      </c>
    </row>
    <row r="52" spans="2:15" ht="14.45" x14ac:dyDescent="0.3">
      <c r="B52" s="358" t="s">
        <v>21</v>
      </c>
      <c r="C52" s="359"/>
      <c r="D52" s="30"/>
      <c r="E52" s="27">
        <v>342.69</v>
      </c>
      <c r="F52" s="61">
        <f>E52*E46</f>
        <v>856.72500000000002</v>
      </c>
      <c r="H52" s="389" t="s">
        <v>21</v>
      </c>
      <c r="I52" s="359"/>
      <c r="J52" s="30"/>
      <c r="K52" s="27">
        <f>342*(2.05%+1)*(3.75%+1)*(0.58%+1)</f>
        <v>364.19908619249998</v>
      </c>
      <c r="L52" s="76">
        <f>K52*K46</f>
        <v>910.49771548125</v>
      </c>
    </row>
    <row r="53" spans="2:15" ht="14.45" x14ac:dyDescent="0.3">
      <c r="B53" s="358" t="s">
        <v>22</v>
      </c>
      <c r="C53" s="359"/>
      <c r="D53" s="30"/>
      <c r="E53" s="27">
        <v>1282.1659565169891</v>
      </c>
      <c r="F53" s="61">
        <v>3205.4148912924729</v>
      </c>
      <c r="H53" s="389" t="s">
        <v>22</v>
      </c>
      <c r="I53" s="359"/>
      <c r="J53" s="30"/>
      <c r="K53" s="27">
        <f>1282*(2.05%+1)*(3.75%+1)*(0.58%+1)</f>
        <v>1365.2141184175</v>
      </c>
      <c r="L53" s="76">
        <f>K53*K46</f>
        <v>3413.0352960437499</v>
      </c>
    </row>
    <row r="54" spans="2:15" ht="14.45" x14ac:dyDescent="0.3">
      <c r="B54" s="360" t="s">
        <v>23</v>
      </c>
      <c r="C54" s="361"/>
      <c r="D54" s="32" t="s">
        <v>33</v>
      </c>
      <c r="E54" s="31">
        <v>16.309999999999999</v>
      </c>
      <c r="F54" s="84">
        <v>40775</v>
      </c>
      <c r="H54" s="390" t="s">
        <v>23</v>
      </c>
      <c r="I54" s="361"/>
      <c r="J54" s="32" t="s">
        <v>33</v>
      </c>
      <c r="K54" s="31">
        <f>16.31*(2.05%+1)*(3.75%+1)*(0.58%+1)</f>
        <v>17.368675718712499</v>
      </c>
      <c r="L54" s="77">
        <f>K54*2500</f>
        <v>43421.689296781246</v>
      </c>
    </row>
    <row r="55" spans="2:15" ht="14.45" x14ac:dyDescent="0.3">
      <c r="B55" s="57" t="s">
        <v>34</v>
      </c>
      <c r="C55" s="23"/>
      <c r="D55" s="23"/>
      <c r="E55" s="23"/>
      <c r="F55" s="58">
        <f>SUM(F49+F50+F51+F52+F53+F54)</f>
        <v>193644.0573912925</v>
      </c>
      <c r="H55" s="22" t="s">
        <v>34</v>
      </c>
      <c r="I55" s="23"/>
      <c r="J55" s="23"/>
      <c r="K55" s="23"/>
      <c r="L55" s="75">
        <f>SUM(L49+L50+L51+L52+L53+L54)</f>
        <v>206210.47303401935</v>
      </c>
    </row>
    <row r="56" spans="2:15" ht="14.45" x14ac:dyDescent="0.3">
      <c r="B56" s="45" t="s">
        <v>27</v>
      </c>
      <c r="C56" s="9"/>
      <c r="D56" s="25">
        <v>0.11</v>
      </c>
      <c r="E56" s="9"/>
      <c r="F56" s="56">
        <f>F55*D56</f>
        <v>21300.846313042177</v>
      </c>
      <c r="H56" s="6" t="s">
        <v>27</v>
      </c>
      <c r="I56" s="9"/>
      <c r="J56" s="301">
        <v>0.12</v>
      </c>
      <c r="K56" s="9"/>
      <c r="L56" s="74">
        <f>L55*J56</f>
        <v>24745.256764082322</v>
      </c>
    </row>
    <row r="57" spans="2:15" thickBot="1" x14ac:dyDescent="0.35">
      <c r="B57" s="46" t="s">
        <v>28</v>
      </c>
      <c r="C57" s="36"/>
      <c r="D57" s="36"/>
      <c r="E57" s="36"/>
      <c r="F57" s="66">
        <f>F55+F56</f>
        <v>214944.90370433469</v>
      </c>
      <c r="H57" s="35" t="s">
        <v>28</v>
      </c>
      <c r="I57" s="36"/>
      <c r="J57" s="36"/>
      <c r="K57" s="36"/>
      <c r="L57" s="78">
        <f>L55+L56</f>
        <v>230955.72979810167</v>
      </c>
    </row>
    <row r="58" spans="2:15" thickTop="1" x14ac:dyDescent="0.3">
      <c r="B58" s="45"/>
      <c r="C58" s="9"/>
      <c r="D58" s="9"/>
      <c r="E58" s="9"/>
      <c r="F58" s="53"/>
      <c r="H58" s="6"/>
      <c r="I58" s="9"/>
      <c r="J58" s="9"/>
      <c r="K58" s="9"/>
      <c r="L58" s="72"/>
    </row>
    <row r="59" spans="2:15" ht="14.45" x14ac:dyDescent="0.3">
      <c r="B59" s="45" t="s">
        <v>29</v>
      </c>
      <c r="C59" s="9"/>
      <c r="D59" s="37">
        <v>2.0472364727519208E-2</v>
      </c>
      <c r="E59" s="9"/>
      <c r="F59" s="67">
        <f>F57*(D59+1)</f>
        <v>219345.33416929131</v>
      </c>
      <c r="H59" s="290" t="s">
        <v>146</v>
      </c>
      <c r="I59" s="9"/>
      <c r="J59" s="37">
        <f>'Fall 2018'!BQ39</f>
        <v>2.3531493276716206E-2</v>
      </c>
      <c r="K59" s="9"/>
      <c r="L59" s="79">
        <f>L57*(J59+1)</f>
        <v>236390.46300106475</v>
      </c>
    </row>
    <row r="60" spans="2:15" ht="14.45" x14ac:dyDescent="0.3">
      <c r="B60" s="170"/>
      <c r="C60" s="38"/>
      <c r="D60" s="39"/>
      <c r="E60" s="40"/>
      <c r="F60" s="171"/>
      <c r="H60" s="291" t="s">
        <v>168</v>
      </c>
      <c r="I60" s="292"/>
      <c r="J60" s="293">
        <f>J30</f>
        <v>6.3E-3</v>
      </c>
      <c r="K60" s="292"/>
      <c r="L60" s="294">
        <f>L46*(J59+1)*J60</f>
        <v>743.70895691699127</v>
      </c>
    </row>
    <row r="61" spans="2:15" ht="14.45" x14ac:dyDescent="0.3">
      <c r="B61" s="172"/>
      <c r="C61" s="42" t="s">
        <v>30</v>
      </c>
      <c r="D61" s="43"/>
      <c r="E61" s="43"/>
      <c r="F61" s="176">
        <f>F59/12</f>
        <v>18278.777847440942</v>
      </c>
      <c r="H61" s="80"/>
      <c r="I61" s="50"/>
      <c r="J61" s="50"/>
      <c r="K61" s="50"/>
      <c r="L61" s="81"/>
    </row>
    <row r="62" spans="2:15" s="48" customFormat="1" thickBot="1" x14ac:dyDescent="0.35">
      <c r="B62" s="172"/>
      <c r="C62" s="49"/>
      <c r="D62" s="50"/>
      <c r="E62" s="50"/>
      <c r="F62" s="70"/>
      <c r="G62" s="41"/>
      <c r="H62" s="80"/>
      <c r="I62" s="42" t="s">
        <v>30</v>
      </c>
      <c r="J62" s="43"/>
      <c r="K62" s="43"/>
      <c r="L62" s="82"/>
      <c r="M62" s="118"/>
      <c r="O62" s="298"/>
    </row>
    <row r="63" spans="2:15" thickBot="1" x14ac:dyDescent="0.35">
      <c r="B63" s="177" t="s">
        <v>35</v>
      </c>
      <c r="C63" s="112"/>
      <c r="D63" s="113">
        <v>3.7504765535646155E-2</v>
      </c>
      <c r="E63" s="117">
        <f>F59*(D63+1)</f>
        <v>227571.82949864856</v>
      </c>
      <c r="F63" s="313">
        <f>E63/12</f>
        <v>18964.319124887381</v>
      </c>
      <c r="H63" s="80"/>
      <c r="I63" s="49"/>
      <c r="J63" s="50"/>
      <c r="K63" s="50"/>
      <c r="L63" s="83"/>
      <c r="M63" s="121"/>
    </row>
    <row r="64" spans="2:15" thickBot="1" x14ac:dyDescent="0.35">
      <c r="B64" s="310" t="s">
        <v>145</v>
      </c>
      <c r="C64" s="302"/>
      <c r="D64" s="303">
        <f>'Fall 2018'!BQ23</f>
        <v>3.1948881789137015E-3</v>
      </c>
      <c r="E64" s="304">
        <f>E63*(D64+1)</f>
        <v>228298.89604656753</v>
      </c>
      <c r="F64" s="317">
        <f>E64/12</f>
        <v>19024.908003880628</v>
      </c>
      <c r="H64" s="319"/>
      <c r="I64" s="115"/>
      <c r="J64" s="116"/>
      <c r="K64" s="320">
        <f>L59+L60</f>
        <v>237134.17195798174</v>
      </c>
      <c r="L64" s="318">
        <f>K64/12</f>
        <v>19761.180996498479</v>
      </c>
      <c r="O64" s="121"/>
    </row>
    <row r="65" spans="2:12" thickBot="1" x14ac:dyDescent="0.35">
      <c r="B65" s="13"/>
      <c r="C65" s="13"/>
      <c r="D65" s="13"/>
      <c r="E65" s="13"/>
      <c r="F65" s="13"/>
      <c r="H65" s="321"/>
      <c r="I65" s="321"/>
      <c r="J65" s="322"/>
      <c r="K65" s="323"/>
      <c r="L65" s="323"/>
    </row>
    <row r="66" spans="2:12" thickBot="1" x14ac:dyDescent="0.35">
      <c r="B66" s="347" t="s">
        <v>142</v>
      </c>
      <c r="C66" s="348"/>
      <c r="D66" s="348"/>
      <c r="E66" s="348"/>
      <c r="F66" s="349"/>
      <c r="H66" s="403" t="s">
        <v>143</v>
      </c>
      <c r="I66" s="404"/>
      <c r="J66" s="404"/>
      <c r="K66" s="404"/>
      <c r="L66" s="405"/>
    </row>
    <row r="67" spans="2:12" ht="18.600000000000001" thickBot="1" x14ac:dyDescent="0.35">
      <c r="B67" s="386" t="s">
        <v>152</v>
      </c>
      <c r="C67" s="387"/>
      <c r="D67" s="387"/>
      <c r="E67" s="387"/>
      <c r="F67" s="388"/>
      <c r="H67" s="386" t="s">
        <v>152</v>
      </c>
      <c r="I67" s="387"/>
      <c r="J67" s="387"/>
      <c r="K67" s="387"/>
      <c r="L67" s="388"/>
    </row>
    <row r="68" spans="2:12" ht="14.45" x14ac:dyDescent="0.3">
      <c r="B68" s="51"/>
      <c r="C68" s="3"/>
      <c r="D68" s="4" t="s">
        <v>36</v>
      </c>
      <c r="E68" s="5" t="s">
        <v>1</v>
      </c>
      <c r="F68" s="52" t="s">
        <v>36</v>
      </c>
      <c r="H68" s="240"/>
      <c r="I68" s="179"/>
      <c r="J68" s="180" t="s">
        <v>36</v>
      </c>
      <c r="K68" s="178" t="s">
        <v>1</v>
      </c>
      <c r="L68" s="52" t="s">
        <v>36</v>
      </c>
    </row>
    <row r="69" spans="2:12" ht="14.45" x14ac:dyDescent="0.3">
      <c r="B69" s="45"/>
      <c r="C69" s="7"/>
      <c r="D69" s="8" t="s">
        <v>2</v>
      </c>
      <c r="E69" s="9"/>
      <c r="F69" s="53"/>
      <c r="H69" s="241"/>
      <c r="I69" s="182"/>
      <c r="J69" s="183" t="s">
        <v>2</v>
      </c>
      <c r="K69" s="181"/>
      <c r="L69" s="225"/>
    </row>
    <row r="70" spans="2:12" ht="14.45" x14ac:dyDescent="0.3">
      <c r="B70" s="54"/>
      <c r="C70" s="11"/>
      <c r="D70" s="12" t="s">
        <v>3</v>
      </c>
      <c r="E70" s="12" t="s">
        <v>4</v>
      </c>
      <c r="F70" s="55" t="s">
        <v>5</v>
      </c>
      <c r="H70" s="177"/>
      <c r="I70" s="112"/>
      <c r="J70" s="226" t="s">
        <v>3</v>
      </c>
      <c r="K70" s="226" t="s">
        <v>4</v>
      </c>
      <c r="L70" s="227" t="s">
        <v>5</v>
      </c>
    </row>
    <row r="71" spans="2:12" ht="14.45" x14ac:dyDescent="0.3">
      <c r="B71" s="369" t="s">
        <v>6</v>
      </c>
      <c r="C71" s="366"/>
      <c r="D71" s="14">
        <v>54801</v>
      </c>
      <c r="E71" s="16">
        <v>0.1</v>
      </c>
      <c r="F71" s="56">
        <v>5480.1</v>
      </c>
      <c r="H71" s="391" t="s">
        <v>6</v>
      </c>
      <c r="I71" s="392"/>
      <c r="J71" s="17">
        <f>J41</f>
        <v>58358.111469108757</v>
      </c>
      <c r="K71" s="15">
        <v>0.1</v>
      </c>
      <c r="L71" s="165">
        <f>K71*J71</f>
        <v>5835.8111469108762</v>
      </c>
    </row>
    <row r="72" spans="2:12" ht="14.45" x14ac:dyDescent="0.3">
      <c r="B72" s="370" t="s">
        <v>7</v>
      </c>
      <c r="C72" s="368"/>
      <c r="D72" s="14">
        <v>52305</v>
      </c>
      <c r="E72" s="16">
        <v>0</v>
      </c>
      <c r="F72" s="56">
        <v>0</v>
      </c>
      <c r="H72" s="393" t="s">
        <v>7</v>
      </c>
      <c r="I72" s="394"/>
      <c r="J72" s="17">
        <f t="shared" ref="J72:J75" si="1">J42</f>
        <v>55700.097085668756</v>
      </c>
      <c r="K72" s="15">
        <v>0</v>
      </c>
      <c r="L72" s="165">
        <v>0</v>
      </c>
    </row>
    <row r="73" spans="2:12" ht="14.45" x14ac:dyDescent="0.3">
      <c r="B73" s="371" t="s">
        <v>8</v>
      </c>
      <c r="C73" s="372"/>
      <c r="D73" s="17">
        <v>35000</v>
      </c>
      <c r="E73" s="15">
        <v>0</v>
      </c>
      <c r="F73" s="56">
        <v>0</v>
      </c>
      <c r="H73" s="371" t="s">
        <v>8</v>
      </c>
      <c r="I73" s="372"/>
      <c r="J73" s="17">
        <f t="shared" si="1"/>
        <v>37271.836306249999</v>
      </c>
      <c r="K73" s="15">
        <v>0</v>
      </c>
      <c r="L73" s="165">
        <v>0</v>
      </c>
    </row>
    <row r="74" spans="2:12" ht="14.45" x14ac:dyDescent="0.3">
      <c r="B74" s="373" t="s">
        <v>9</v>
      </c>
      <c r="C74" s="374"/>
      <c r="D74" s="18">
        <v>42000</v>
      </c>
      <c r="E74" s="19">
        <v>0</v>
      </c>
      <c r="F74" s="56">
        <v>0</v>
      </c>
      <c r="H74" s="373" t="s">
        <v>9</v>
      </c>
      <c r="I74" s="374"/>
      <c r="J74" s="17">
        <f t="shared" si="1"/>
        <v>44726.203567500008</v>
      </c>
      <c r="K74" s="21">
        <v>0</v>
      </c>
      <c r="L74" s="165">
        <v>0</v>
      </c>
    </row>
    <row r="75" spans="2:12" ht="14.45" x14ac:dyDescent="0.3">
      <c r="B75" s="395" t="s">
        <v>10</v>
      </c>
      <c r="C75" s="396"/>
      <c r="D75" s="20">
        <v>29821</v>
      </c>
      <c r="E75" s="19">
        <v>0</v>
      </c>
      <c r="F75" s="56">
        <v>0</v>
      </c>
      <c r="H75" s="371" t="s">
        <v>10</v>
      </c>
      <c r="I75" s="372"/>
      <c r="J75" s="17">
        <f t="shared" si="1"/>
        <v>31756.669442533756</v>
      </c>
      <c r="K75" s="21">
        <v>0</v>
      </c>
      <c r="L75" s="165">
        <v>0</v>
      </c>
    </row>
    <row r="76" spans="2:12" ht="14.45" x14ac:dyDescent="0.3">
      <c r="B76" s="57" t="s">
        <v>11</v>
      </c>
      <c r="C76" s="23"/>
      <c r="D76" s="23"/>
      <c r="E76" s="24">
        <v>0.1</v>
      </c>
      <c r="F76" s="58">
        <v>5480.1</v>
      </c>
      <c r="H76" s="242" t="s">
        <v>11</v>
      </c>
      <c r="I76" s="228"/>
      <c r="J76" s="228"/>
      <c r="K76" s="229">
        <v>0.1</v>
      </c>
      <c r="L76" s="230">
        <f>SUM(L71:L75)</f>
        <v>5835.8111469108762</v>
      </c>
    </row>
    <row r="77" spans="2:12" ht="14.45" x14ac:dyDescent="0.3">
      <c r="B77" s="51" t="s">
        <v>12</v>
      </c>
      <c r="C77" s="9"/>
      <c r="D77" s="9"/>
      <c r="E77" s="5" t="s">
        <v>13</v>
      </c>
      <c r="F77" s="53"/>
      <c r="H77" s="240" t="s">
        <v>12</v>
      </c>
      <c r="I77" s="181"/>
      <c r="J77" s="181"/>
      <c r="K77" s="178" t="s">
        <v>13</v>
      </c>
      <c r="L77" s="225"/>
    </row>
    <row r="78" spans="2:12" ht="14.45" x14ac:dyDescent="0.3">
      <c r="B78" s="45" t="s">
        <v>14</v>
      </c>
      <c r="C78" s="9"/>
      <c r="D78" s="25">
        <v>0.2485</v>
      </c>
      <c r="E78" s="9"/>
      <c r="F78" s="56">
        <v>1361.80485</v>
      </c>
      <c r="H78" s="241" t="s">
        <v>14</v>
      </c>
      <c r="I78" s="181"/>
      <c r="J78" s="64">
        <v>0.2485</v>
      </c>
      <c r="K78" s="181"/>
      <c r="L78" s="165">
        <f>L76*J78</f>
        <v>1450.1990700073527</v>
      </c>
    </row>
    <row r="79" spans="2:12" ht="14.45" x14ac:dyDescent="0.3">
      <c r="B79" s="57" t="s">
        <v>15</v>
      </c>
      <c r="C79" s="23"/>
      <c r="D79" s="23"/>
      <c r="E79" s="26"/>
      <c r="F79" s="58">
        <v>6841.9048500000008</v>
      </c>
      <c r="H79" s="242" t="s">
        <v>15</v>
      </c>
      <c r="I79" s="228"/>
      <c r="J79" s="228"/>
      <c r="K79" s="231"/>
      <c r="L79" s="230">
        <f>L78+L76</f>
        <v>7286.0102169182292</v>
      </c>
    </row>
    <row r="80" spans="2:12" ht="14.45" x14ac:dyDescent="0.3">
      <c r="B80" s="397" t="s">
        <v>16</v>
      </c>
      <c r="C80" s="398"/>
      <c r="D80" s="20">
        <v>50000</v>
      </c>
      <c r="E80" s="16">
        <v>0.2</v>
      </c>
      <c r="F80" s="56">
        <f>D80*E80</f>
        <v>10000</v>
      </c>
      <c r="H80" s="377" t="s">
        <v>16</v>
      </c>
      <c r="I80" s="378"/>
      <c r="J80" s="184">
        <f>J16</f>
        <v>53245.480437500009</v>
      </c>
      <c r="K80" s="15">
        <v>0.5</v>
      </c>
      <c r="L80" s="165">
        <f>J80*K80</f>
        <v>26622.740218750005</v>
      </c>
    </row>
    <row r="81" spans="2:15" ht="14.45" x14ac:dyDescent="0.3">
      <c r="B81" s="397" t="s">
        <v>17</v>
      </c>
      <c r="C81" s="398"/>
      <c r="D81" s="59">
        <v>32232</v>
      </c>
      <c r="E81" s="16">
        <v>0.2</v>
      </c>
      <c r="F81" s="56">
        <f>E81*D81</f>
        <v>6446.4000000000005</v>
      </c>
      <c r="H81" s="377" t="s">
        <v>17</v>
      </c>
      <c r="I81" s="378"/>
      <c r="J81" s="184">
        <f>J17</f>
        <v>34324.16650923001</v>
      </c>
      <c r="K81" s="15">
        <v>0.5</v>
      </c>
      <c r="L81" s="165">
        <f>K81*J81</f>
        <v>17162.083254615005</v>
      </c>
    </row>
    <row r="82" spans="2:15" ht="14.45" x14ac:dyDescent="0.3">
      <c r="B82" s="162" t="s">
        <v>18</v>
      </c>
      <c r="C82" s="163"/>
      <c r="D82" s="28">
        <v>0.35</v>
      </c>
      <c r="E82" s="60"/>
      <c r="F82" s="61">
        <f>(F80+F81)*D82</f>
        <v>5756.24</v>
      </c>
      <c r="H82" s="168" t="s">
        <v>18</v>
      </c>
      <c r="I82" s="164"/>
      <c r="J82" s="232">
        <v>0.35</v>
      </c>
      <c r="K82" s="185"/>
      <c r="L82" s="84">
        <f>SUM(L80+L81)*J82</f>
        <v>15324.688215677752</v>
      </c>
    </row>
    <row r="83" spans="2:15" ht="14.45" x14ac:dyDescent="0.3">
      <c r="B83" s="356" t="s">
        <v>19</v>
      </c>
      <c r="C83" s="357"/>
      <c r="D83" s="30"/>
      <c r="E83" s="27">
        <v>1435.25</v>
      </c>
      <c r="F83" s="61">
        <v>143.52500000000001</v>
      </c>
      <c r="H83" s="410" t="s">
        <v>19</v>
      </c>
      <c r="I83" s="411"/>
      <c r="J83" s="186"/>
      <c r="K83" s="18">
        <f>1435.25*(2.05%+1)*(3.75%+1)*(0.58%+1)</f>
        <v>1528.4115159584376</v>
      </c>
      <c r="L83" s="84">
        <f>K83*K76</f>
        <v>152.84115159584377</v>
      </c>
    </row>
    <row r="84" spans="2:15" ht="14.45" x14ac:dyDescent="0.3">
      <c r="B84" s="356" t="s">
        <v>20</v>
      </c>
      <c r="C84" s="357"/>
      <c r="D84" s="30"/>
      <c r="E84" s="27">
        <v>30</v>
      </c>
      <c r="F84" s="56">
        <v>0</v>
      </c>
      <c r="H84" s="410" t="s">
        <v>20</v>
      </c>
      <c r="I84" s="411"/>
      <c r="J84" s="186"/>
      <c r="K84" s="18">
        <f>30*(2.05%+1)*(3.75%+1)*(0.58%+1)</f>
        <v>31.947288262500003</v>
      </c>
      <c r="L84" s="165">
        <v>0</v>
      </c>
    </row>
    <row r="85" spans="2:15" ht="14.45" x14ac:dyDescent="0.3">
      <c r="B85" s="358" t="s">
        <v>21</v>
      </c>
      <c r="C85" s="359"/>
      <c r="D85" s="30"/>
      <c r="E85" s="27">
        <v>810</v>
      </c>
      <c r="F85" s="61">
        <f>E85*E76</f>
        <v>81</v>
      </c>
      <c r="H85" s="401" t="s">
        <v>21</v>
      </c>
      <c r="I85" s="402"/>
      <c r="J85" s="186"/>
      <c r="K85" s="18">
        <f>810*(2.05%+1)*(3.75%+1)*(0.58%+1)</f>
        <v>862.57678308750019</v>
      </c>
      <c r="L85" s="84">
        <f>K85*K76</f>
        <v>86.25767830875003</v>
      </c>
    </row>
    <row r="86" spans="2:15" ht="14.45" x14ac:dyDescent="0.3">
      <c r="B86" s="358" t="s">
        <v>22</v>
      </c>
      <c r="C86" s="359"/>
      <c r="D86" s="30"/>
      <c r="E86" s="27">
        <v>1282.1659565169891</v>
      </c>
      <c r="F86" s="61">
        <v>128.21659565169892</v>
      </c>
      <c r="H86" s="401" t="s">
        <v>22</v>
      </c>
      <c r="I86" s="402"/>
      <c r="J86" s="186"/>
      <c r="K86" s="18">
        <f>1282*(2.05%+1)*(3.75%+1)*(0.58%+1)</f>
        <v>1365.2141184175</v>
      </c>
      <c r="L86" s="84">
        <f>K86*K76</f>
        <v>136.52141184174999</v>
      </c>
    </row>
    <row r="87" spans="2:15" ht="14.45" x14ac:dyDescent="0.3">
      <c r="B87" s="57" t="s">
        <v>34</v>
      </c>
      <c r="C87" s="23"/>
      <c r="D87" s="23"/>
      <c r="E87" s="23"/>
      <c r="F87" s="58">
        <f>F79+F80+F81+F82+F83+F84+F85+F86</f>
        <v>29397.286445651698</v>
      </c>
      <c r="H87" s="242" t="s">
        <v>34</v>
      </c>
      <c r="I87" s="228"/>
      <c r="J87" s="228"/>
      <c r="K87" s="228"/>
      <c r="L87" s="230">
        <f>L79+L80+L81+L82+L83+L84+L85+L86</f>
        <v>66771.142147707345</v>
      </c>
    </row>
    <row r="88" spans="2:15" ht="14.45" x14ac:dyDescent="0.3">
      <c r="B88" s="45"/>
      <c r="C88" s="62" t="s">
        <v>26</v>
      </c>
      <c r="D88" s="9"/>
      <c r="E88" s="34">
        <f>SUM(F83:F86)</f>
        <v>352.74159565169896</v>
      </c>
      <c r="F88" s="53"/>
      <c r="H88" s="241"/>
      <c r="I88" s="187" t="s">
        <v>26</v>
      </c>
      <c r="J88" s="181"/>
      <c r="K88" s="188">
        <f>SUM(L83:L86)</f>
        <v>375.62024174634382</v>
      </c>
      <c r="L88" s="225"/>
    </row>
    <row r="89" spans="2:15" ht="14.45" x14ac:dyDescent="0.3">
      <c r="B89" s="45" t="s">
        <v>27</v>
      </c>
      <c r="C89" s="63"/>
      <c r="D89" s="64">
        <v>0.11</v>
      </c>
      <c r="E89" s="65"/>
      <c r="F89" s="84">
        <f>(F79+E88)*D89</f>
        <v>791.41110902168691</v>
      </c>
      <c r="H89" s="241" t="s">
        <v>27</v>
      </c>
      <c r="I89" s="189"/>
      <c r="J89" s="301">
        <v>0.12</v>
      </c>
      <c r="K89" s="65"/>
      <c r="L89" s="84">
        <f>(L79+K88)*J89</f>
        <v>919.3956550397487</v>
      </c>
    </row>
    <row r="90" spans="2:15" thickBot="1" x14ac:dyDescent="0.35">
      <c r="B90" s="46" t="s">
        <v>28</v>
      </c>
      <c r="C90" s="36"/>
      <c r="D90" s="36"/>
      <c r="E90" s="36"/>
      <c r="F90" s="66">
        <f>F87+F89</f>
        <v>30188.697554673385</v>
      </c>
      <c r="H90" s="243" t="s">
        <v>28</v>
      </c>
      <c r="I90" s="233"/>
      <c r="J90" s="233"/>
      <c r="K90" s="233"/>
      <c r="L90" s="234">
        <f>L87+L89</f>
        <v>67690.537802747087</v>
      </c>
    </row>
    <row r="91" spans="2:15" s="48" customFormat="1" thickTop="1" x14ac:dyDescent="0.3">
      <c r="B91" s="45" t="s">
        <v>29</v>
      </c>
      <c r="C91" s="9"/>
      <c r="D91" s="37">
        <v>2.0472364727519208E-2</v>
      </c>
      <c r="E91" s="9"/>
      <c r="F91" s="67">
        <f>F90*(D91+1)</f>
        <v>30806.731581661425</v>
      </c>
      <c r="G91" s="41"/>
      <c r="H91" s="273" t="s">
        <v>146</v>
      </c>
      <c r="I91" s="181"/>
      <c r="J91" s="190">
        <f>'Fall 2018'!BQ39</f>
        <v>2.3531493276716206E-2</v>
      </c>
      <c r="K91" s="181"/>
      <c r="L91" s="235">
        <f>L90*(J91+1)</f>
        <v>69283.397237949728</v>
      </c>
      <c r="M91"/>
      <c r="O91" s="298"/>
    </row>
    <row r="92" spans="2:15" ht="14.45" x14ac:dyDescent="0.3">
      <c r="B92" s="68" t="s">
        <v>30</v>
      </c>
      <c r="C92" s="69"/>
      <c r="D92" s="43"/>
      <c r="E92" s="43"/>
      <c r="F92" s="85">
        <f>F91/12</f>
        <v>2567.2276318051186</v>
      </c>
      <c r="H92" s="291" t="s">
        <v>168</v>
      </c>
      <c r="I92" s="274"/>
      <c r="J92" s="295">
        <f>J60</f>
        <v>6.3E-3</v>
      </c>
      <c r="K92" s="296"/>
      <c r="L92" s="297">
        <f>L76*(J91+1)*J92</f>
        <v>37.630759935375146</v>
      </c>
      <c r="M92" s="121"/>
    </row>
    <row r="93" spans="2:15" thickBot="1" x14ac:dyDescent="0.35">
      <c r="B93" s="114" t="s">
        <v>31</v>
      </c>
      <c r="C93" s="115"/>
      <c r="D93" s="116">
        <v>3.7504765535646155E-2</v>
      </c>
      <c r="E93" s="119">
        <f>F91*(D93+1)</f>
        <v>31962.130826551223</v>
      </c>
      <c r="F93" s="314">
        <f>E93/12</f>
        <v>2663.5109022126021</v>
      </c>
      <c r="H93" s="244" t="s">
        <v>30</v>
      </c>
      <c r="I93" s="236"/>
      <c r="J93" s="237"/>
      <c r="K93" s="237"/>
      <c r="L93" s="238"/>
    </row>
    <row r="94" spans="2:15" thickBot="1" x14ac:dyDescent="0.35">
      <c r="B94" s="324" t="s">
        <v>145</v>
      </c>
      <c r="C94" s="321"/>
      <c r="D94" s="322">
        <f>'Fall 2018'!BQ23</f>
        <v>3.1948881789137015E-3</v>
      </c>
      <c r="E94" s="304">
        <f>E93*(D94+1)</f>
        <v>32064.246260501863</v>
      </c>
      <c r="F94" s="317">
        <f>E94/12</f>
        <v>2672.0205217084886</v>
      </c>
      <c r="G94" s="191"/>
      <c r="H94" s="114"/>
      <c r="I94" s="115"/>
      <c r="J94" s="116"/>
      <c r="K94" s="119">
        <f>L91+L92</f>
        <v>69321.027997885103</v>
      </c>
      <c r="L94" s="318">
        <f>K94/12</f>
        <v>5776.7523331570919</v>
      </c>
    </row>
    <row r="95" spans="2:15" ht="14.45" x14ac:dyDescent="0.3">
      <c r="G95" s="191"/>
      <c r="H95" s="48"/>
      <c r="I95" s="239"/>
      <c r="J95" s="48"/>
      <c r="K95" s="48"/>
      <c r="L95" s="48"/>
      <c r="O95" s="121"/>
    </row>
    <row r="96" spans="2:15" ht="14.45" x14ac:dyDescent="0.3">
      <c r="G96" s="191"/>
    </row>
    <row r="97" spans="2:7" ht="14.45" x14ac:dyDescent="0.3">
      <c r="B97" s="400"/>
      <c r="C97" s="400"/>
      <c r="D97" s="400"/>
      <c r="E97" s="400"/>
      <c r="F97" s="400"/>
      <c r="G97" s="191"/>
    </row>
    <row r="98" spans="2:7" ht="18" x14ac:dyDescent="0.3">
      <c r="B98" s="406"/>
      <c r="C98" s="406"/>
      <c r="D98" s="406"/>
      <c r="E98" s="406"/>
      <c r="F98" s="406"/>
      <c r="G98" s="191"/>
    </row>
    <row r="99" spans="2:7" ht="14.45" x14ac:dyDescent="0.3">
      <c r="B99" s="192"/>
      <c r="C99" s="193"/>
      <c r="D99" s="194"/>
      <c r="E99" s="192"/>
      <c r="F99" s="195"/>
      <c r="G99" s="191"/>
    </row>
    <row r="100" spans="2:7" ht="14.45" x14ac:dyDescent="0.3">
      <c r="B100" s="196"/>
      <c r="C100" s="197"/>
      <c r="D100" s="198"/>
      <c r="E100" s="196"/>
      <c r="F100" s="196"/>
      <c r="G100" s="191"/>
    </row>
    <row r="101" spans="2:7" ht="14.45" x14ac:dyDescent="0.3">
      <c r="B101" s="192"/>
      <c r="C101" s="192"/>
      <c r="D101" s="193"/>
      <c r="E101" s="193"/>
      <c r="F101" s="193"/>
      <c r="G101" s="191"/>
    </row>
    <row r="102" spans="2:7" ht="14.45" x14ac:dyDescent="0.3">
      <c r="B102" s="407"/>
      <c r="C102" s="407"/>
      <c r="D102" s="199"/>
      <c r="E102" s="200"/>
      <c r="F102" s="199"/>
      <c r="G102" s="191"/>
    </row>
    <row r="103" spans="2:7" ht="14.45" x14ac:dyDescent="0.3">
      <c r="B103" s="408"/>
      <c r="C103" s="408"/>
      <c r="D103" s="199"/>
      <c r="E103" s="200"/>
      <c r="F103" s="199"/>
      <c r="G103" s="191"/>
    </row>
    <row r="104" spans="2:7" ht="14.45" x14ac:dyDescent="0.3">
      <c r="B104" s="407"/>
      <c r="C104" s="407"/>
      <c r="D104" s="199"/>
      <c r="E104" s="200"/>
      <c r="F104" s="199"/>
      <c r="G104" s="191"/>
    </row>
    <row r="105" spans="2:7" ht="14.45" x14ac:dyDescent="0.3">
      <c r="B105" s="407"/>
      <c r="C105" s="407"/>
      <c r="D105" s="201"/>
      <c r="E105" s="202"/>
      <c r="F105" s="199"/>
      <c r="G105" s="191"/>
    </row>
    <row r="106" spans="2:7" ht="14.45" x14ac:dyDescent="0.3">
      <c r="B106" s="407"/>
      <c r="C106" s="407"/>
      <c r="D106" s="203"/>
      <c r="E106" s="202"/>
      <c r="F106" s="199"/>
      <c r="G106" s="191"/>
    </row>
    <row r="107" spans="2:7" ht="14.45" x14ac:dyDescent="0.3">
      <c r="B107" s="192"/>
      <c r="C107" s="192"/>
      <c r="D107" s="192"/>
      <c r="E107" s="204"/>
      <c r="F107" s="205"/>
      <c r="G107" s="191"/>
    </row>
    <row r="108" spans="2:7" ht="14.45" x14ac:dyDescent="0.3">
      <c r="B108" s="192"/>
      <c r="C108" s="196"/>
      <c r="D108" s="196"/>
      <c r="E108" s="192"/>
      <c r="F108" s="196"/>
      <c r="G108" s="191"/>
    </row>
    <row r="109" spans="2:7" ht="14.45" x14ac:dyDescent="0.3">
      <c r="B109" s="196"/>
      <c r="C109" s="196"/>
      <c r="D109" s="206"/>
      <c r="E109" s="196"/>
      <c r="F109" s="199"/>
      <c r="G109" s="191"/>
    </row>
    <row r="110" spans="2:7" ht="14.45" x14ac:dyDescent="0.3">
      <c r="B110" s="192"/>
      <c r="C110" s="192"/>
      <c r="D110" s="192"/>
      <c r="E110" s="207"/>
      <c r="F110" s="205"/>
      <c r="G110" s="191"/>
    </row>
    <row r="111" spans="2:7" ht="14.45" x14ac:dyDescent="0.3">
      <c r="B111" s="399"/>
      <c r="C111" s="399"/>
      <c r="D111" s="203"/>
      <c r="E111" s="200"/>
      <c r="F111" s="199"/>
      <c r="G111" s="191"/>
    </row>
    <row r="112" spans="2:7" ht="14.45" x14ac:dyDescent="0.3">
      <c r="B112" s="399"/>
      <c r="C112" s="399"/>
      <c r="D112" s="208"/>
      <c r="E112" s="200"/>
      <c r="F112" s="199"/>
      <c r="G112" s="191"/>
    </row>
    <row r="113" spans="2:7" ht="14.45" x14ac:dyDescent="0.3">
      <c r="B113" s="209"/>
      <c r="C113" s="209"/>
      <c r="D113" s="210"/>
      <c r="E113" s="211"/>
      <c r="F113" s="201"/>
      <c r="G113" s="191"/>
    </row>
    <row r="114" spans="2:7" ht="14.45" x14ac:dyDescent="0.3">
      <c r="B114" s="209"/>
      <c r="C114" s="209"/>
      <c r="D114" s="212"/>
      <c r="E114" s="211"/>
      <c r="F114" s="199"/>
      <c r="G114" s="191"/>
    </row>
    <row r="115" spans="2:7" ht="14.45" x14ac:dyDescent="0.3">
      <c r="B115" s="399"/>
      <c r="C115" s="399"/>
      <c r="D115" s="196"/>
      <c r="E115" s="201"/>
      <c r="F115" s="201"/>
      <c r="G115" s="191"/>
    </row>
    <row r="116" spans="2:7" ht="14.45" x14ac:dyDescent="0.3">
      <c r="B116" s="399"/>
      <c r="C116" s="399"/>
      <c r="D116" s="196"/>
      <c r="E116" s="201"/>
      <c r="F116" s="199"/>
      <c r="G116" s="191"/>
    </row>
    <row r="117" spans="2:7" ht="14.45" x14ac:dyDescent="0.3">
      <c r="B117" s="409"/>
      <c r="C117" s="409"/>
      <c r="D117" s="196"/>
      <c r="E117" s="201"/>
      <c r="F117" s="201"/>
      <c r="G117" s="191"/>
    </row>
    <row r="118" spans="2:7" ht="14.45" x14ac:dyDescent="0.3">
      <c r="B118" s="409"/>
      <c r="C118" s="409"/>
      <c r="D118" s="196"/>
      <c r="E118" s="201"/>
      <c r="F118" s="201"/>
      <c r="G118" s="191"/>
    </row>
    <row r="119" spans="2:7" ht="14.45" x14ac:dyDescent="0.3">
      <c r="B119" s="399"/>
      <c r="C119" s="399"/>
      <c r="D119" s="213"/>
      <c r="E119" s="214"/>
      <c r="F119" s="199"/>
      <c r="G119" s="191"/>
    </row>
    <row r="120" spans="2:7" ht="14.45" x14ac:dyDescent="0.3">
      <c r="B120" s="192"/>
      <c r="C120" s="192"/>
      <c r="D120" s="192"/>
      <c r="E120" s="192"/>
      <c r="F120" s="205"/>
      <c r="G120" s="191"/>
    </row>
    <row r="121" spans="2:7" ht="14.45" x14ac:dyDescent="0.3">
      <c r="B121" s="196"/>
      <c r="C121" s="215"/>
      <c r="D121" s="196"/>
      <c r="E121" s="216"/>
      <c r="F121" s="196"/>
      <c r="G121" s="191"/>
    </row>
    <row r="122" spans="2:7" ht="14.45" x14ac:dyDescent="0.3">
      <c r="B122" s="196"/>
      <c r="C122" s="213"/>
      <c r="D122" s="206"/>
      <c r="E122" s="214"/>
      <c r="F122" s="201"/>
      <c r="G122" s="191"/>
    </row>
    <row r="123" spans="2:7" ht="14.45" x14ac:dyDescent="0.3">
      <c r="B123" s="196"/>
      <c r="C123" s="196"/>
      <c r="D123" s="196"/>
      <c r="E123" s="214"/>
      <c r="F123" s="196"/>
      <c r="G123" s="191"/>
    </row>
    <row r="124" spans="2:7" ht="14.45" x14ac:dyDescent="0.3">
      <c r="B124" s="192"/>
      <c r="C124" s="196"/>
      <c r="D124" s="196"/>
      <c r="E124" s="196"/>
      <c r="F124" s="205"/>
      <c r="G124" s="191"/>
    </row>
    <row r="125" spans="2:7" ht="14.45" x14ac:dyDescent="0.3">
      <c r="B125" s="196"/>
      <c r="C125" s="196"/>
      <c r="D125" s="196"/>
      <c r="E125" s="196"/>
      <c r="F125" s="196"/>
      <c r="G125" s="191"/>
    </row>
    <row r="126" spans="2:7" ht="14.45" x14ac:dyDescent="0.3">
      <c r="B126" s="196"/>
      <c r="C126" s="196"/>
      <c r="D126" s="206"/>
      <c r="E126" s="196"/>
      <c r="F126" s="217"/>
      <c r="G126" s="223"/>
    </row>
    <row r="127" spans="2:7" ht="14.45" x14ac:dyDescent="0.3">
      <c r="B127" s="218"/>
      <c r="C127" s="218"/>
      <c r="D127" s="191"/>
      <c r="E127" s="191"/>
      <c r="F127" s="219"/>
      <c r="G127" s="191"/>
    </row>
    <row r="128" spans="2:7" ht="14.45" x14ac:dyDescent="0.3">
      <c r="B128" s="218"/>
      <c r="C128" s="218"/>
      <c r="D128" s="191"/>
      <c r="E128" s="191"/>
      <c r="F128" s="219"/>
      <c r="G128" s="191"/>
    </row>
    <row r="129" spans="2:6" ht="14.45" x14ac:dyDescent="0.3">
      <c r="B129" s="192"/>
      <c r="C129" s="192"/>
      <c r="D129" s="220"/>
      <c r="E129" s="221"/>
      <c r="F129" s="222"/>
    </row>
    <row r="130" spans="2:6" ht="14.45" x14ac:dyDescent="0.3">
      <c r="B130" s="192"/>
      <c r="C130" s="192"/>
      <c r="D130" s="220"/>
      <c r="E130" s="224"/>
      <c r="F130" s="224"/>
    </row>
    <row r="131" spans="2:6" ht="14.45" x14ac:dyDescent="0.3">
      <c r="B131" s="191"/>
      <c r="C131" s="191"/>
      <c r="D131" s="191"/>
      <c r="E131" s="191"/>
      <c r="F131" s="191"/>
    </row>
  </sheetData>
  <mergeCells count="92">
    <mergeCell ref="B117:C117"/>
    <mergeCell ref="B118:C118"/>
    <mergeCell ref="H75:I75"/>
    <mergeCell ref="H80:I80"/>
    <mergeCell ref="H81:I81"/>
    <mergeCell ref="H83:I83"/>
    <mergeCell ref="H84:I84"/>
    <mergeCell ref="B85:C85"/>
    <mergeCell ref="B86:C86"/>
    <mergeCell ref="B119:C119"/>
    <mergeCell ref="B97:F97"/>
    <mergeCell ref="H85:I85"/>
    <mergeCell ref="H86:I86"/>
    <mergeCell ref="B98:F98"/>
    <mergeCell ref="B102:C102"/>
    <mergeCell ref="B103:C103"/>
    <mergeCell ref="B104:C104"/>
    <mergeCell ref="B105:C105"/>
    <mergeCell ref="B106:C106"/>
    <mergeCell ref="B111:C111"/>
    <mergeCell ref="B112:C112"/>
    <mergeCell ref="B115:C115"/>
    <mergeCell ref="B116:C116"/>
    <mergeCell ref="B75:C75"/>
    <mergeCell ref="B80:C80"/>
    <mergeCell ref="B81:C81"/>
    <mergeCell ref="B83:C83"/>
    <mergeCell ref="B84:C84"/>
    <mergeCell ref="H72:I72"/>
    <mergeCell ref="H73:I73"/>
    <mergeCell ref="H74:I74"/>
    <mergeCell ref="B71:C71"/>
    <mergeCell ref="B72:C72"/>
    <mergeCell ref="B73:C73"/>
    <mergeCell ref="B74:C74"/>
    <mergeCell ref="H51:I51"/>
    <mergeCell ref="H52:I52"/>
    <mergeCell ref="H53:I53"/>
    <mergeCell ref="H54:I54"/>
    <mergeCell ref="H71:I71"/>
    <mergeCell ref="H66:L66"/>
    <mergeCell ref="H67:L67"/>
    <mergeCell ref="B51:C51"/>
    <mergeCell ref="B52:C52"/>
    <mergeCell ref="B53:C53"/>
    <mergeCell ref="B54:C54"/>
    <mergeCell ref="B67:F67"/>
    <mergeCell ref="B50:C50"/>
    <mergeCell ref="H45:I45"/>
    <mergeCell ref="H50:I50"/>
    <mergeCell ref="B43:C43"/>
    <mergeCell ref="B44:C44"/>
    <mergeCell ref="B45:C45"/>
    <mergeCell ref="H43:I43"/>
    <mergeCell ref="H44:I44"/>
    <mergeCell ref="B42:C42"/>
    <mergeCell ref="B21:C21"/>
    <mergeCell ref="B22:C22"/>
    <mergeCell ref="B23:C23"/>
    <mergeCell ref="B24:C24"/>
    <mergeCell ref="B36:F36"/>
    <mergeCell ref="B37:F37"/>
    <mergeCell ref="B41:C41"/>
    <mergeCell ref="B3:F3"/>
    <mergeCell ref="B7:C7"/>
    <mergeCell ref="B8:C8"/>
    <mergeCell ref="B9:C9"/>
    <mergeCell ref="B10:C10"/>
    <mergeCell ref="H10:I10"/>
    <mergeCell ref="H11:I11"/>
    <mergeCell ref="H16:I16"/>
    <mergeCell ref="H17:I17"/>
    <mergeCell ref="B20:C20"/>
    <mergeCell ref="B11:C11"/>
    <mergeCell ref="B16:C16"/>
    <mergeCell ref="B17:C17"/>
    <mergeCell ref="B2:F2"/>
    <mergeCell ref="B66:F66"/>
    <mergeCell ref="H36:L36"/>
    <mergeCell ref="H2:L2"/>
    <mergeCell ref="H20:I20"/>
    <mergeCell ref="H21:I21"/>
    <mergeCell ref="H22:I22"/>
    <mergeCell ref="H23:I23"/>
    <mergeCell ref="H24:I24"/>
    <mergeCell ref="H37:L37"/>
    <mergeCell ref="H41:I41"/>
    <mergeCell ref="H42:I42"/>
    <mergeCell ref="H3:L3"/>
    <mergeCell ref="H7:I7"/>
    <mergeCell ref="H8:I8"/>
    <mergeCell ref="H9:I9"/>
  </mergeCells>
  <printOptions horizontalCentered="1"/>
  <pageMargins left="0.25" right="0.25" top="0.25" bottom="0.25" header="0.3" footer="0.3"/>
  <pageSetup scale="50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workbookViewId="0">
      <selection activeCell="M43" sqref="M43"/>
    </sheetView>
  </sheetViews>
  <sheetFormatPr defaultRowHeight="15" x14ac:dyDescent="0.25"/>
  <cols>
    <col min="1" max="1" width="23.7109375" customWidth="1"/>
    <col min="2" max="2" width="11.140625" customWidth="1"/>
    <col min="3" max="3" width="13.7109375" customWidth="1"/>
    <col min="5" max="5" width="24.85546875" customWidth="1"/>
    <col min="6" max="6" width="11.85546875" customWidth="1"/>
    <col min="9" max="9" width="23.42578125" customWidth="1"/>
    <col min="10" max="10" width="11.7109375" customWidth="1"/>
    <col min="13" max="15" width="16.28515625" customWidth="1"/>
  </cols>
  <sheetData>
    <row r="1" spans="1:15" ht="34.9" x14ac:dyDescent="0.5">
      <c r="A1" s="152" t="s">
        <v>38</v>
      </c>
      <c r="B1" s="153"/>
      <c r="C1" s="153"/>
      <c r="D1" s="153"/>
      <c r="E1" s="153"/>
      <c r="F1" s="154"/>
      <c r="G1" s="158"/>
      <c r="H1" s="158"/>
    </row>
    <row r="2" spans="1:15" ht="35.450000000000003" thickBot="1" x14ac:dyDescent="0.55000000000000004">
      <c r="A2" s="155" t="s">
        <v>39</v>
      </c>
      <c r="B2" s="156"/>
      <c r="C2" s="156"/>
      <c r="D2" s="157"/>
      <c r="E2" s="160"/>
      <c r="F2" s="161"/>
    </row>
    <row r="3" spans="1:15" ht="14.45" x14ac:dyDescent="0.3">
      <c r="A3" s="412" t="s">
        <v>147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246"/>
      <c r="M3" s="419" t="s">
        <v>149</v>
      </c>
      <c r="N3" s="419"/>
      <c r="O3" s="419"/>
    </row>
    <row r="4" spans="1:15" thickBot="1" x14ac:dyDescent="0.35"/>
    <row r="5" spans="1:15" thickBot="1" x14ac:dyDescent="0.35">
      <c r="A5" s="413" t="s">
        <v>136</v>
      </c>
      <c r="B5" s="414"/>
      <c r="C5" s="415"/>
      <c r="E5" s="413" t="s">
        <v>137</v>
      </c>
      <c r="F5" s="414"/>
      <c r="G5" s="415"/>
      <c r="I5" s="413" t="s">
        <v>138</v>
      </c>
      <c r="J5" s="414"/>
      <c r="K5" s="415"/>
      <c r="M5" s="416" t="s">
        <v>150</v>
      </c>
      <c r="N5" s="417"/>
      <c r="O5" s="418"/>
    </row>
    <row r="6" spans="1:15" thickBot="1" x14ac:dyDescent="0.35">
      <c r="A6" s="413" t="s">
        <v>131</v>
      </c>
      <c r="B6" s="414"/>
      <c r="C6" s="415"/>
      <c r="E6" s="413" t="s">
        <v>131</v>
      </c>
      <c r="F6" s="414"/>
      <c r="G6" s="415"/>
      <c r="I6" s="413" t="s">
        <v>131</v>
      </c>
      <c r="J6" s="414"/>
      <c r="K6" s="415"/>
      <c r="M6" s="416" t="s">
        <v>131</v>
      </c>
      <c r="N6" s="417"/>
      <c r="O6" s="418"/>
    </row>
    <row r="7" spans="1:15" ht="14.45" x14ac:dyDescent="0.3">
      <c r="A7" s="123" t="s">
        <v>132</v>
      </c>
      <c r="B7" s="124" t="s">
        <v>133</v>
      </c>
      <c r="C7" s="125">
        <v>260</v>
      </c>
      <c r="E7" s="123" t="s">
        <v>132</v>
      </c>
      <c r="F7" s="124" t="s">
        <v>133</v>
      </c>
      <c r="G7" s="125">
        <v>260</v>
      </c>
      <c r="I7" s="123" t="s">
        <v>132</v>
      </c>
      <c r="J7" s="124" t="s">
        <v>133</v>
      </c>
      <c r="K7" s="125">
        <v>260</v>
      </c>
      <c r="M7" s="247" t="s">
        <v>132</v>
      </c>
      <c r="N7" s="248" t="s">
        <v>133</v>
      </c>
      <c r="O7" s="249">
        <v>260</v>
      </c>
    </row>
    <row r="8" spans="1:15" ht="14.45" x14ac:dyDescent="0.3">
      <c r="A8" s="126"/>
      <c r="B8" s="127" t="s">
        <v>3</v>
      </c>
      <c r="C8" s="128" t="s">
        <v>5</v>
      </c>
      <c r="E8" s="126"/>
      <c r="F8" s="127" t="s">
        <v>3</v>
      </c>
      <c r="G8" s="128" t="s">
        <v>5</v>
      </c>
      <c r="I8" s="126"/>
      <c r="J8" s="127" t="s">
        <v>3</v>
      </c>
      <c r="K8" s="128" t="s">
        <v>5</v>
      </c>
      <c r="M8" s="250"/>
      <c r="N8" s="251" t="s">
        <v>3</v>
      </c>
      <c r="O8" s="252" t="s">
        <v>5</v>
      </c>
    </row>
    <row r="9" spans="1:15" ht="14.45" x14ac:dyDescent="0.3">
      <c r="A9" s="129" t="s">
        <v>17</v>
      </c>
      <c r="B9" s="130">
        <v>34126</v>
      </c>
      <c r="C9" s="131">
        <f>B9</f>
        <v>34126</v>
      </c>
      <c r="E9" s="129" t="s">
        <v>16</v>
      </c>
      <c r="F9" s="130">
        <v>52938</v>
      </c>
      <c r="G9" s="131">
        <f>F9</f>
        <v>52938</v>
      </c>
      <c r="I9" s="129" t="s">
        <v>139</v>
      </c>
      <c r="J9" s="130">
        <v>37057</v>
      </c>
      <c r="K9" s="131">
        <f>J9</f>
        <v>37057</v>
      </c>
      <c r="M9" s="253" t="s">
        <v>9</v>
      </c>
      <c r="N9" s="254">
        <f>'Models '!D10*(3.75%+1)</f>
        <v>43575.000000000007</v>
      </c>
      <c r="O9" s="255">
        <f>N9</f>
        <v>43575.000000000007</v>
      </c>
    </row>
    <row r="10" spans="1:15" ht="14.45" x14ac:dyDescent="0.3">
      <c r="A10" s="132"/>
      <c r="B10" s="133"/>
      <c r="C10" s="134"/>
      <c r="E10" s="132"/>
      <c r="F10" s="133"/>
      <c r="G10" s="134"/>
      <c r="I10" s="132"/>
      <c r="J10" s="133"/>
      <c r="K10" s="134"/>
      <c r="M10" s="256"/>
      <c r="N10" s="257"/>
      <c r="O10" s="258"/>
    </row>
    <row r="11" spans="1:15" ht="14.45" x14ac:dyDescent="0.3">
      <c r="A11" s="135" t="s">
        <v>134</v>
      </c>
      <c r="B11" s="130"/>
      <c r="C11" s="131">
        <f>SUM(C9:C10)</f>
        <v>34126</v>
      </c>
      <c r="E11" s="135" t="s">
        <v>134</v>
      </c>
      <c r="F11" s="130"/>
      <c r="G11" s="131">
        <f>SUM(G9:G10)</f>
        <v>52938</v>
      </c>
      <c r="I11" s="135" t="s">
        <v>134</v>
      </c>
      <c r="J11" s="130"/>
      <c r="K11" s="131">
        <f>SUM(K9:K10)</f>
        <v>37057</v>
      </c>
      <c r="M11" s="259" t="s">
        <v>134</v>
      </c>
      <c r="N11" s="254"/>
      <c r="O11" s="255">
        <f>SUM(O9:O10)</f>
        <v>43575.000000000007</v>
      </c>
    </row>
    <row r="12" spans="1:15" ht="14.45" x14ac:dyDescent="0.3">
      <c r="A12" s="136" t="s">
        <v>135</v>
      </c>
      <c r="B12" s="137">
        <v>0.35</v>
      </c>
      <c r="C12" s="134">
        <f>B12*C11</f>
        <v>11944.099999999999</v>
      </c>
      <c r="E12" s="136" t="s">
        <v>135</v>
      </c>
      <c r="F12" s="137">
        <v>0.35</v>
      </c>
      <c r="G12" s="134">
        <f>F12*G11</f>
        <v>18528.3</v>
      </c>
      <c r="I12" s="136" t="s">
        <v>140</v>
      </c>
      <c r="J12" s="137">
        <v>0.2485</v>
      </c>
      <c r="K12" s="134">
        <f>J12*K11</f>
        <v>9208.6645000000008</v>
      </c>
      <c r="M12" s="260" t="s">
        <v>140</v>
      </c>
      <c r="N12" s="261">
        <v>0.2485</v>
      </c>
      <c r="O12" s="258">
        <f>N12*O11</f>
        <v>10828.387500000003</v>
      </c>
    </row>
    <row r="13" spans="1:15" ht="14.45" x14ac:dyDescent="0.3">
      <c r="A13" s="138" t="s">
        <v>15</v>
      </c>
      <c r="B13" s="139"/>
      <c r="C13" s="131">
        <f>C11+C12</f>
        <v>46070.1</v>
      </c>
      <c r="E13" s="138" t="s">
        <v>15</v>
      </c>
      <c r="F13" s="139"/>
      <c r="G13" s="131">
        <f>G11+G12</f>
        <v>71466.3</v>
      </c>
      <c r="I13" s="138" t="s">
        <v>15</v>
      </c>
      <c r="J13" s="139"/>
      <c r="K13" s="131">
        <f>K11+K12</f>
        <v>46265.664499999999</v>
      </c>
      <c r="M13" s="262" t="s">
        <v>15</v>
      </c>
      <c r="N13" s="263"/>
      <c r="O13" s="255">
        <f>O11+O12</f>
        <v>54403.387500000012</v>
      </c>
    </row>
    <row r="14" spans="1:15" ht="14.45" x14ac:dyDescent="0.3">
      <c r="A14" s="138"/>
      <c r="B14" s="139"/>
      <c r="C14" s="131"/>
      <c r="E14" s="138"/>
      <c r="F14" s="139"/>
      <c r="G14" s="131"/>
      <c r="I14" s="138" t="s">
        <v>141</v>
      </c>
      <c r="J14" s="139">
        <v>0.12</v>
      </c>
      <c r="K14" s="131">
        <f>K13*J14</f>
        <v>5551.8797399999994</v>
      </c>
      <c r="M14" s="262" t="s">
        <v>141</v>
      </c>
      <c r="N14" s="263">
        <v>0.12</v>
      </c>
      <c r="O14" s="255">
        <f>O13*N14</f>
        <v>6528.406500000001</v>
      </c>
    </row>
    <row r="15" spans="1:15" ht="14.45" x14ac:dyDescent="0.3">
      <c r="A15" s="140"/>
      <c r="B15" s="141"/>
      <c r="C15" s="142"/>
      <c r="E15" s="140"/>
      <c r="F15" s="141"/>
      <c r="G15" s="142"/>
      <c r="I15" s="140"/>
      <c r="J15" s="141"/>
      <c r="K15" s="142"/>
      <c r="M15" s="262"/>
      <c r="N15" s="264"/>
      <c r="O15" s="255"/>
    </row>
    <row r="16" spans="1:15" thickBot="1" x14ac:dyDescent="0.35">
      <c r="A16" s="143" t="s">
        <v>28</v>
      </c>
      <c r="B16" s="144"/>
      <c r="C16" s="145">
        <f>C15+C13</f>
        <v>46070.1</v>
      </c>
      <c r="E16" s="143" t="s">
        <v>28</v>
      </c>
      <c r="F16" s="144"/>
      <c r="G16" s="145">
        <f>G15+G13</f>
        <v>71466.3</v>
      </c>
      <c r="I16" s="143" t="s">
        <v>28</v>
      </c>
      <c r="J16" s="144"/>
      <c r="K16" s="145">
        <f>K14+K13</f>
        <v>51817.544239999996</v>
      </c>
      <c r="M16" s="265" t="s">
        <v>28</v>
      </c>
      <c r="N16" s="266"/>
      <c r="O16" s="267">
        <f>O14+O13</f>
        <v>60931.794000000009</v>
      </c>
    </row>
    <row r="17" spans="1:15" ht="15.6" thickTop="1" thickBot="1" x14ac:dyDescent="0.35">
      <c r="A17" s="146" t="str">
        <f>'Models '!B33</f>
        <v>CAF: (4/1/19 - 6/30/19)</v>
      </c>
      <c r="B17" s="147">
        <f>'Fall 2018'!BQ23</f>
        <v>3.1948881789137015E-3</v>
      </c>
      <c r="C17" s="148">
        <f>C16*(B17+1)</f>
        <v>46217.288817891371</v>
      </c>
      <c r="E17" s="146" t="str">
        <f>A17</f>
        <v>CAF: (4/1/19 - 6/30/19)</v>
      </c>
      <c r="F17" s="147">
        <f>B17</f>
        <v>3.1948881789137015E-3</v>
      </c>
      <c r="G17" s="148">
        <f>G16*(F17+1)</f>
        <v>71694.626837060699</v>
      </c>
      <c r="I17" s="146" t="str">
        <f>A17</f>
        <v>CAF: (4/1/19 - 6/30/19)</v>
      </c>
      <c r="J17" s="147">
        <f>F17</f>
        <v>3.1948881789137015E-3</v>
      </c>
      <c r="K17" s="148">
        <f>K16*(J17+1)</f>
        <v>51983.095499552706</v>
      </c>
      <c r="M17" s="268" t="str">
        <f>E17</f>
        <v>CAF: (4/1/19 - 6/30/19)</v>
      </c>
      <c r="N17" s="269">
        <f>J17</f>
        <v>3.1948881789137015E-3</v>
      </c>
      <c r="O17" s="270">
        <f>O16*(N17+1)</f>
        <v>61126.464268370612</v>
      </c>
    </row>
    <row r="18" spans="1:15" thickBot="1" x14ac:dyDescent="0.35">
      <c r="A18" s="149" t="s">
        <v>37</v>
      </c>
      <c r="B18" s="150"/>
      <c r="C18" s="151">
        <f>C17/C7</f>
        <v>177.75880314573604</v>
      </c>
      <c r="E18" s="149" t="s">
        <v>37</v>
      </c>
      <c r="F18" s="150"/>
      <c r="G18" s="151">
        <f>G17/G7</f>
        <v>275.74856475792575</v>
      </c>
      <c r="I18" s="149" t="s">
        <v>37</v>
      </c>
      <c r="J18" s="150"/>
      <c r="K18" s="151">
        <f>K17/K7</f>
        <v>199.93498269058733</v>
      </c>
      <c r="M18" s="271" t="s">
        <v>37</v>
      </c>
      <c r="N18" s="272"/>
      <c r="O18" s="151">
        <f>O17/O7</f>
        <v>235.10178564757928</v>
      </c>
    </row>
    <row r="20" spans="1:15" ht="14.45" x14ac:dyDescent="0.3">
      <c r="C20" s="121"/>
      <c r="D20" s="159"/>
      <c r="E20" s="159"/>
      <c r="G20" s="121"/>
      <c r="H20" s="159"/>
      <c r="I20" s="159"/>
      <c r="K20" s="121"/>
      <c r="M20" s="159"/>
      <c r="O20" s="121"/>
    </row>
    <row r="23" spans="1:15" ht="14.45" x14ac:dyDescent="0.3">
      <c r="A23" s="412" t="s">
        <v>148</v>
      </c>
      <c r="B23" s="412"/>
      <c r="C23" s="412"/>
      <c r="D23" s="412"/>
      <c r="E23" s="412"/>
      <c r="F23" s="412"/>
      <c r="G23" s="412"/>
      <c r="H23" s="412"/>
      <c r="I23" s="412"/>
      <c r="J23" s="412"/>
      <c r="K23" s="412"/>
      <c r="L23" s="246"/>
      <c r="M23" s="419"/>
      <c r="N23" s="419"/>
      <c r="O23" s="419"/>
    </row>
    <row r="24" spans="1:15" thickBot="1" x14ac:dyDescent="0.35"/>
    <row r="25" spans="1:15" thickBot="1" x14ac:dyDescent="0.35">
      <c r="A25" s="413" t="s">
        <v>136</v>
      </c>
      <c r="B25" s="414"/>
      <c r="C25" s="415"/>
      <c r="E25" s="413" t="s">
        <v>137</v>
      </c>
      <c r="F25" s="414"/>
      <c r="G25" s="415"/>
      <c r="I25" s="413" t="s">
        <v>138</v>
      </c>
      <c r="J25" s="414"/>
      <c r="K25" s="415"/>
      <c r="M25" s="413" t="s">
        <v>150</v>
      </c>
      <c r="N25" s="414"/>
      <c r="O25" s="415"/>
    </row>
    <row r="26" spans="1:15" thickBot="1" x14ac:dyDescent="0.35">
      <c r="A26" s="413" t="s">
        <v>131</v>
      </c>
      <c r="B26" s="414"/>
      <c r="C26" s="415"/>
      <c r="E26" s="413" t="s">
        <v>131</v>
      </c>
      <c r="F26" s="414"/>
      <c r="G26" s="415"/>
      <c r="I26" s="413" t="s">
        <v>131</v>
      </c>
      <c r="J26" s="414"/>
      <c r="K26" s="415"/>
      <c r="M26" s="413" t="s">
        <v>131</v>
      </c>
      <c r="N26" s="414"/>
      <c r="O26" s="415"/>
    </row>
    <row r="27" spans="1:15" ht="14.45" x14ac:dyDescent="0.3">
      <c r="A27" s="123" t="s">
        <v>132</v>
      </c>
      <c r="B27" s="124" t="s">
        <v>133</v>
      </c>
      <c r="C27" s="125">
        <v>260</v>
      </c>
      <c r="E27" s="123" t="s">
        <v>132</v>
      </c>
      <c r="F27" s="124" t="s">
        <v>133</v>
      </c>
      <c r="G27" s="125">
        <v>260</v>
      </c>
      <c r="I27" s="123" t="s">
        <v>132</v>
      </c>
      <c r="J27" s="124" t="s">
        <v>133</v>
      </c>
      <c r="K27" s="125">
        <v>260</v>
      </c>
      <c r="M27" s="123" t="s">
        <v>132</v>
      </c>
      <c r="N27" s="124" t="s">
        <v>133</v>
      </c>
      <c r="O27" s="125">
        <v>260</v>
      </c>
    </row>
    <row r="28" spans="1:15" ht="14.45" x14ac:dyDescent="0.3">
      <c r="A28" s="126"/>
      <c r="B28" s="127" t="s">
        <v>3</v>
      </c>
      <c r="C28" s="128" t="s">
        <v>5</v>
      </c>
      <c r="E28" s="126"/>
      <c r="F28" s="127" t="s">
        <v>3</v>
      </c>
      <c r="G28" s="128" t="s">
        <v>5</v>
      </c>
      <c r="I28" s="126"/>
      <c r="J28" s="127" t="s">
        <v>3</v>
      </c>
      <c r="K28" s="128" t="s">
        <v>5</v>
      </c>
      <c r="M28" s="325"/>
      <c r="N28" s="326" t="s">
        <v>3</v>
      </c>
      <c r="O28" s="327" t="s">
        <v>5</v>
      </c>
    </row>
    <row r="29" spans="1:15" ht="14.45" x14ac:dyDescent="0.3">
      <c r="A29" s="129" t="s">
        <v>17</v>
      </c>
      <c r="B29" s="130">
        <f>34126*(B17+1)</f>
        <v>34235.028753993611</v>
      </c>
      <c r="C29" s="131">
        <f>B29</f>
        <v>34235.028753993611</v>
      </c>
      <c r="E29" s="129" t="s">
        <v>16</v>
      </c>
      <c r="F29" s="130">
        <f>52938*(F17+1)</f>
        <v>53107.130990415331</v>
      </c>
      <c r="G29" s="131">
        <f>F29</f>
        <v>53107.130990415331</v>
      </c>
      <c r="I29" s="129" t="s">
        <v>139</v>
      </c>
      <c r="J29" s="130">
        <f>37057*(J17+1)</f>
        <v>37175.392971246001</v>
      </c>
      <c r="K29" s="131">
        <f>J29</f>
        <v>37175.392971246001</v>
      </c>
      <c r="M29" s="328" t="s">
        <v>9</v>
      </c>
      <c r="N29" s="329">
        <f>N9*(N17+1)</f>
        <v>43714.217252396171</v>
      </c>
      <c r="O29" s="142">
        <f>N29</f>
        <v>43714.217252396171</v>
      </c>
    </row>
    <row r="30" spans="1:15" ht="14.45" x14ac:dyDescent="0.3">
      <c r="A30" s="132"/>
      <c r="B30" s="133"/>
      <c r="C30" s="134"/>
      <c r="E30" s="132"/>
      <c r="F30" s="133"/>
      <c r="G30" s="134"/>
      <c r="I30" s="132"/>
      <c r="J30" s="133"/>
      <c r="K30" s="134"/>
      <c r="M30" s="330"/>
      <c r="N30" s="331"/>
      <c r="O30" s="332"/>
    </row>
    <row r="31" spans="1:15" ht="14.45" x14ac:dyDescent="0.3">
      <c r="A31" s="135" t="s">
        <v>134</v>
      </c>
      <c r="B31" s="130"/>
      <c r="C31" s="131">
        <f>SUM(C29:C30)</f>
        <v>34235.028753993611</v>
      </c>
      <c r="E31" s="135" t="s">
        <v>134</v>
      </c>
      <c r="F31" s="130"/>
      <c r="G31" s="131">
        <f>SUM(G29:G30)</f>
        <v>53107.130990415331</v>
      </c>
      <c r="I31" s="135" t="s">
        <v>134</v>
      </c>
      <c r="J31" s="130"/>
      <c r="K31" s="131">
        <f>SUM(K29:K30)</f>
        <v>37175.392971246001</v>
      </c>
      <c r="M31" s="333" t="s">
        <v>134</v>
      </c>
      <c r="N31" s="329"/>
      <c r="O31" s="142">
        <f>SUM(O29:O30)</f>
        <v>43714.217252396171</v>
      </c>
    </row>
    <row r="32" spans="1:15" ht="14.45" x14ac:dyDescent="0.3">
      <c r="A32" s="136" t="s">
        <v>135</v>
      </c>
      <c r="B32" s="137">
        <v>0.35</v>
      </c>
      <c r="C32" s="134">
        <f>B32*C31</f>
        <v>11982.260063897764</v>
      </c>
      <c r="E32" s="136" t="s">
        <v>135</v>
      </c>
      <c r="F32" s="137">
        <v>0.35</v>
      </c>
      <c r="G32" s="134">
        <f>F32*G31</f>
        <v>18587.495846645365</v>
      </c>
      <c r="I32" s="136" t="s">
        <v>140</v>
      </c>
      <c r="J32" s="137">
        <v>0.2485</v>
      </c>
      <c r="K32" s="134">
        <f>J32*K31</f>
        <v>9238.085153354632</v>
      </c>
      <c r="M32" s="136" t="s">
        <v>140</v>
      </c>
      <c r="N32" s="334">
        <v>0.2485</v>
      </c>
      <c r="O32" s="332">
        <f>N32*O31</f>
        <v>10862.982987220448</v>
      </c>
    </row>
    <row r="33" spans="1:15" ht="14.45" x14ac:dyDescent="0.3">
      <c r="A33" s="138" t="s">
        <v>15</v>
      </c>
      <c r="B33" s="139"/>
      <c r="C33" s="131">
        <f>C31+C32</f>
        <v>46217.288817891371</v>
      </c>
      <c r="E33" s="138" t="s">
        <v>15</v>
      </c>
      <c r="F33" s="139"/>
      <c r="G33" s="131">
        <f>G31+G32</f>
        <v>71694.626837060699</v>
      </c>
      <c r="I33" s="138" t="s">
        <v>15</v>
      </c>
      <c r="J33" s="139"/>
      <c r="K33" s="131">
        <f>K31+K32</f>
        <v>46413.478124600631</v>
      </c>
      <c r="M33" s="138" t="s">
        <v>15</v>
      </c>
      <c r="N33" s="335"/>
      <c r="O33" s="142">
        <f>O31+O32</f>
        <v>54577.200239616621</v>
      </c>
    </row>
    <row r="34" spans="1:15" ht="14.45" x14ac:dyDescent="0.3">
      <c r="A34" s="138"/>
      <c r="B34" s="139"/>
      <c r="C34" s="131"/>
      <c r="E34" s="138"/>
      <c r="F34" s="139"/>
      <c r="G34" s="131"/>
      <c r="I34" s="138" t="s">
        <v>141</v>
      </c>
      <c r="J34" s="139">
        <v>0.12</v>
      </c>
      <c r="K34" s="131">
        <f>K33*J34</f>
        <v>5569.6173749520758</v>
      </c>
      <c r="M34" s="138" t="s">
        <v>141</v>
      </c>
      <c r="N34" s="335">
        <v>0.12</v>
      </c>
      <c r="O34" s="142">
        <f>O33*N34</f>
        <v>6549.2640287539944</v>
      </c>
    </row>
    <row r="35" spans="1:15" ht="14.45" x14ac:dyDescent="0.3">
      <c r="A35" s="140"/>
      <c r="B35" s="141"/>
      <c r="C35" s="142"/>
      <c r="E35" s="140"/>
      <c r="F35" s="141"/>
      <c r="G35" s="142"/>
      <c r="I35" s="140"/>
      <c r="J35" s="141"/>
      <c r="K35" s="142"/>
      <c r="M35" s="138"/>
      <c r="N35" s="141"/>
      <c r="O35" s="142"/>
    </row>
    <row r="36" spans="1:15" thickBot="1" x14ac:dyDescent="0.35">
      <c r="A36" s="143" t="s">
        <v>28</v>
      </c>
      <c r="B36" s="144"/>
      <c r="C36" s="145">
        <f>C35+C33</f>
        <v>46217.288817891371</v>
      </c>
      <c r="E36" s="143" t="s">
        <v>28</v>
      </c>
      <c r="F36" s="144"/>
      <c r="G36" s="145">
        <f>G35+G33</f>
        <v>71694.626837060699</v>
      </c>
      <c r="I36" s="143" t="s">
        <v>28</v>
      </c>
      <c r="J36" s="144"/>
      <c r="K36" s="145">
        <f>K34+K33</f>
        <v>51983.095499552706</v>
      </c>
      <c r="M36" s="336" t="s">
        <v>28</v>
      </c>
      <c r="N36" s="337"/>
      <c r="O36" s="338">
        <f>O34+O33</f>
        <v>61126.464268370619</v>
      </c>
    </row>
    <row r="37" spans="1:15" ht="15.6" thickTop="1" thickBot="1" x14ac:dyDescent="0.35">
      <c r="A37" s="146" t="s">
        <v>40</v>
      </c>
      <c r="B37" s="147">
        <f>'Fall 2018'!BQ39</f>
        <v>2.3531493276716206E-2</v>
      </c>
      <c r="C37" s="148">
        <f>C36*(B37+1)</f>
        <v>47304.85063897763</v>
      </c>
      <c r="E37" s="146" t="s">
        <v>40</v>
      </c>
      <c r="F37" s="147">
        <f>B37</f>
        <v>2.3531493276716206E-2</v>
      </c>
      <c r="G37" s="148">
        <f>G36*(F37+1)</f>
        <v>73381.708466453667</v>
      </c>
      <c r="I37" s="146" t="s">
        <v>40</v>
      </c>
      <c r="J37" s="147">
        <f>F37</f>
        <v>2.3531493276716206E-2</v>
      </c>
      <c r="K37" s="148">
        <f>K36*(J37+1)</f>
        <v>53206.335361803322</v>
      </c>
      <c r="M37" s="339" t="str">
        <f>E37</f>
        <v>CAF</v>
      </c>
      <c r="N37" s="340">
        <f>J37</f>
        <v>2.3531493276716206E-2</v>
      </c>
      <c r="O37" s="341">
        <f>O36*(N37+1)</f>
        <v>62564.861251331211</v>
      </c>
    </row>
    <row r="38" spans="1:15" thickBot="1" x14ac:dyDescent="0.35">
      <c r="A38" s="149" t="s">
        <v>37</v>
      </c>
      <c r="B38" s="150"/>
      <c r="C38" s="151">
        <f>C37/C27</f>
        <v>181.94173322683704</v>
      </c>
      <c r="E38" s="149" t="s">
        <v>37</v>
      </c>
      <c r="F38" s="150"/>
      <c r="G38" s="151">
        <f>G37/G27</f>
        <v>282.23734025559105</v>
      </c>
      <c r="I38" s="149" t="s">
        <v>37</v>
      </c>
      <c r="J38" s="150"/>
      <c r="K38" s="151">
        <f>K37/K27</f>
        <v>204.63975139155124</v>
      </c>
      <c r="M38" s="343" t="s">
        <v>37</v>
      </c>
      <c r="N38" s="342"/>
      <c r="O38" s="151">
        <f>O37/O27</f>
        <v>240.63408173588928</v>
      </c>
    </row>
    <row r="39" spans="1:15" ht="14.45" x14ac:dyDescent="0.3">
      <c r="C39" s="245"/>
      <c r="G39" s="245"/>
      <c r="K39" s="245"/>
    </row>
    <row r="40" spans="1:15" ht="14.45" x14ac:dyDescent="0.3">
      <c r="C40" s="121"/>
      <c r="D40" s="159"/>
      <c r="E40" s="159"/>
      <c r="G40" s="121"/>
      <c r="H40" s="159"/>
      <c r="I40" s="159"/>
      <c r="K40" s="121"/>
    </row>
  </sheetData>
  <mergeCells count="20">
    <mergeCell ref="M5:O5"/>
    <mergeCell ref="M6:O6"/>
    <mergeCell ref="M3:O3"/>
    <mergeCell ref="M25:O25"/>
    <mergeCell ref="M26:O26"/>
    <mergeCell ref="M23:O23"/>
    <mergeCell ref="A26:C26"/>
    <mergeCell ref="E26:G26"/>
    <mergeCell ref="I26:K26"/>
    <mergeCell ref="I5:K5"/>
    <mergeCell ref="I6:K6"/>
    <mergeCell ref="A5:C5"/>
    <mergeCell ref="A6:C6"/>
    <mergeCell ref="E5:G5"/>
    <mergeCell ref="E6:G6"/>
    <mergeCell ref="A3:K3"/>
    <mergeCell ref="A23:K23"/>
    <mergeCell ref="A25:C25"/>
    <mergeCell ref="E25:G25"/>
    <mergeCell ref="I25:K25"/>
  </mergeCells>
  <pageMargins left="0.25" right="0.25" top="0.75" bottom="0.75" header="0.3" footer="0.3"/>
  <pageSetup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40"/>
  <sheetViews>
    <sheetView topLeftCell="AZ1" workbookViewId="0">
      <selection activeCell="BF13" sqref="BF13:BQ40"/>
    </sheetView>
  </sheetViews>
  <sheetFormatPr defaultRowHeight="12.75" x14ac:dyDescent="0.2"/>
  <cols>
    <col min="1" max="1" width="38.42578125" style="277" customWidth="1"/>
    <col min="2" max="2" width="12.85546875" style="282" customWidth="1"/>
    <col min="3" max="58" width="7.7109375" style="277" customWidth="1"/>
    <col min="59" max="59" width="13" style="277" customWidth="1"/>
    <col min="60" max="60" width="8.42578125" style="277" customWidth="1"/>
    <col min="61" max="61" width="8.140625" style="277" customWidth="1"/>
    <col min="62" max="67" width="8.140625" style="277" bestFit="1" customWidth="1"/>
    <col min="68" max="68" width="7.42578125" style="277" bestFit="1" customWidth="1"/>
    <col min="69" max="69" width="9" style="277" bestFit="1" customWidth="1"/>
    <col min="70" max="82" width="7.7109375" style="277" customWidth="1"/>
    <col min="83" max="256" width="8.85546875" style="277"/>
    <col min="257" max="257" width="38.42578125" style="277" customWidth="1"/>
    <col min="258" max="258" width="12.85546875" style="277" customWidth="1"/>
    <col min="259" max="314" width="7.7109375" style="277" customWidth="1"/>
    <col min="315" max="315" width="13" style="277" customWidth="1"/>
    <col min="316" max="316" width="8.42578125" style="277" customWidth="1"/>
    <col min="317" max="317" width="8.140625" style="277" customWidth="1"/>
    <col min="318" max="323" width="8.140625" style="277" bestFit="1" customWidth="1"/>
    <col min="324" max="324" width="7.42578125" style="277" bestFit="1" customWidth="1"/>
    <col min="325" max="325" width="9" style="277" bestFit="1" customWidth="1"/>
    <col min="326" max="338" width="7.7109375" style="277" customWidth="1"/>
    <col min="339" max="512" width="8.85546875" style="277"/>
    <col min="513" max="513" width="38.42578125" style="277" customWidth="1"/>
    <col min="514" max="514" width="12.85546875" style="277" customWidth="1"/>
    <col min="515" max="570" width="7.7109375" style="277" customWidth="1"/>
    <col min="571" max="571" width="13" style="277" customWidth="1"/>
    <col min="572" max="572" width="8.42578125" style="277" customWidth="1"/>
    <col min="573" max="573" width="8.140625" style="277" customWidth="1"/>
    <col min="574" max="579" width="8.140625" style="277" bestFit="1" customWidth="1"/>
    <col min="580" max="580" width="7.42578125" style="277" bestFit="1" customWidth="1"/>
    <col min="581" max="581" width="9" style="277" bestFit="1" customWidth="1"/>
    <col min="582" max="594" width="7.7109375" style="277" customWidth="1"/>
    <col min="595" max="768" width="8.85546875" style="277"/>
    <col min="769" max="769" width="38.42578125" style="277" customWidth="1"/>
    <col min="770" max="770" width="12.85546875" style="277" customWidth="1"/>
    <col min="771" max="826" width="7.7109375" style="277" customWidth="1"/>
    <col min="827" max="827" width="13" style="277" customWidth="1"/>
    <col min="828" max="828" width="8.42578125" style="277" customWidth="1"/>
    <col min="829" max="829" width="8.140625" style="277" customWidth="1"/>
    <col min="830" max="835" width="8.140625" style="277" bestFit="1" customWidth="1"/>
    <col min="836" max="836" width="7.42578125" style="277" bestFit="1" customWidth="1"/>
    <col min="837" max="837" width="9" style="277" bestFit="1" customWidth="1"/>
    <col min="838" max="850" width="7.7109375" style="277" customWidth="1"/>
    <col min="851" max="1024" width="8.85546875" style="277"/>
    <col min="1025" max="1025" width="38.42578125" style="277" customWidth="1"/>
    <col min="1026" max="1026" width="12.85546875" style="277" customWidth="1"/>
    <col min="1027" max="1082" width="7.7109375" style="277" customWidth="1"/>
    <col min="1083" max="1083" width="13" style="277" customWidth="1"/>
    <col min="1084" max="1084" width="8.42578125" style="277" customWidth="1"/>
    <col min="1085" max="1085" width="8.140625" style="277" customWidth="1"/>
    <col min="1086" max="1091" width="8.140625" style="277" bestFit="1" customWidth="1"/>
    <col min="1092" max="1092" width="7.42578125" style="277" bestFit="1" customWidth="1"/>
    <col min="1093" max="1093" width="9" style="277" bestFit="1" customWidth="1"/>
    <col min="1094" max="1106" width="7.7109375" style="277" customWidth="1"/>
    <col min="1107" max="1280" width="8.85546875" style="277"/>
    <col min="1281" max="1281" width="38.42578125" style="277" customWidth="1"/>
    <col min="1282" max="1282" width="12.85546875" style="277" customWidth="1"/>
    <col min="1283" max="1338" width="7.7109375" style="277" customWidth="1"/>
    <col min="1339" max="1339" width="13" style="277" customWidth="1"/>
    <col min="1340" max="1340" width="8.42578125" style="277" customWidth="1"/>
    <col min="1341" max="1341" width="8.140625" style="277" customWidth="1"/>
    <col min="1342" max="1347" width="8.140625" style="277" bestFit="1" customWidth="1"/>
    <col min="1348" max="1348" width="7.42578125" style="277" bestFit="1" customWidth="1"/>
    <col min="1349" max="1349" width="9" style="277" bestFit="1" customWidth="1"/>
    <col min="1350" max="1362" width="7.7109375" style="277" customWidth="1"/>
    <col min="1363" max="1536" width="8.85546875" style="277"/>
    <col min="1537" max="1537" width="38.42578125" style="277" customWidth="1"/>
    <col min="1538" max="1538" width="12.85546875" style="277" customWidth="1"/>
    <col min="1539" max="1594" width="7.7109375" style="277" customWidth="1"/>
    <col min="1595" max="1595" width="13" style="277" customWidth="1"/>
    <col min="1596" max="1596" width="8.42578125" style="277" customWidth="1"/>
    <col min="1597" max="1597" width="8.140625" style="277" customWidth="1"/>
    <col min="1598" max="1603" width="8.140625" style="277" bestFit="1" customWidth="1"/>
    <col min="1604" max="1604" width="7.42578125" style="277" bestFit="1" customWidth="1"/>
    <col min="1605" max="1605" width="9" style="277" bestFit="1" customWidth="1"/>
    <col min="1606" max="1618" width="7.7109375" style="277" customWidth="1"/>
    <col min="1619" max="1792" width="8.85546875" style="277"/>
    <col min="1793" max="1793" width="38.42578125" style="277" customWidth="1"/>
    <col min="1794" max="1794" width="12.85546875" style="277" customWidth="1"/>
    <col min="1795" max="1850" width="7.7109375" style="277" customWidth="1"/>
    <col min="1851" max="1851" width="13" style="277" customWidth="1"/>
    <col min="1852" max="1852" width="8.42578125" style="277" customWidth="1"/>
    <col min="1853" max="1853" width="8.140625" style="277" customWidth="1"/>
    <col min="1854" max="1859" width="8.140625" style="277" bestFit="1" customWidth="1"/>
    <col min="1860" max="1860" width="7.42578125" style="277" bestFit="1" customWidth="1"/>
    <col min="1861" max="1861" width="9" style="277" bestFit="1" customWidth="1"/>
    <col min="1862" max="1874" width="7.7109375" style="277" customWidth="1"/>
    <col min="1875" max="2048" width="8.85546875" style="277"/>
    <col min="2049" max="2049" width="38.42578125" style="277" customWidth="1"/>
    <col min="2050" max="2050" width="12.85546875" style="277" customWidth="1"/>
    <col min="2051" max="2106" width="7.7109375" style="277" customWidth="1"/>
    <col min="2107" max="2107" width="13" style="277" customWidth="1"/>
    <col min="2108" max="2108" width="8.42578125" style="277" customWidth="1"/>
    <col min="2109" max="2109" width="8.140625" style="277" customWidth="1"/>
    <col min="2110" max="2115" width="8.140625" style="277" bestFit="1" customWidth="1"/>
    <col min="2116" max="2116" width="7.42578125" style="277" bestFit="1" customWidth="1"/>
    <col min="2117" max="2117" width="9" style="277" bestFit="1" customWidth="1"/>
    <col min="2118" max="2130" width="7.7109375" style="277" customWidth="1"/>
    <col min="2131" max="2304" width="8.85546875" style="277"/>
    <col min="2305" max="2305" width="38.42578125" style="277" customWidth="1"/>
    <col min="2306" max="2306" width="12.85546875" style="277" customWidth="1"/>
    <col min="2307" max="2362" width="7.7109375" style="277" customWidth="1"/>
    <col min="2363" max="2363" width="13" style="277" customWidth="1"/>
    <col min="2364" max="2364" width="8.42578125" style="277" customWidth="1"/>
    <col min="2365" max="2365" width="8.140625" style="277" customWidth="1"/>
    <col min="2366" max="2371" width="8.140625" style="277" bestFit="1" customWidth="1"/>
    <col min="2372" max="2372" width="7.42578125" style="277" bestFit="1" customWidth="1"/>
    <col min="2373" max="2373" width="9" style="277" bestFit="1" customWidth="1"/>
    <col min="2374" max="2386" width="7.7109375" style="277" customWidth="1"/>
    <col min="2387" max="2560" width="8.85546875" style="277"/>
    <col min="2561" max="2561" width="38.42578125" style="277" customWidth="1"/>
    <col min="2562" max="2562" width="12.85546875" style="277" customWidth="1"/>
    <col min="2563" max="2618" width="7.7109375" style="277" customWidth="1"/>
    <col min="2619" max="2619" width="13" style="277" customWidth="1"/>
    <col min="2620" max="2620" width="8.42578125" style="277" customWidth="1"/>
    <col min="2621" max="2621" width="8.140625" style="277" customWidth="1"/>
    <col min="2622" max="2627" width="8.140625" style="277" bestFit="1" customWidth="1"/>
    <col min="2628" max="2628" width="7.42578125" style="277" bestFit="1" customWidth="1"/>
    <col min="2629" max="2629" width="9" style="277" bestFit="1" customWidth="1"/>
    <col min="2630" max="2642" width="7.7109375" style="277" customWidth="1"/>
    <col min="2643" max="2816" width="8.85546875" style="277"/>
    <col min="2817" max="2817" width="38.42578125" style="277" customWidth="1"/>
    <col min="2818" max="2818" width="12.85546875" style="277" customWidth="1"/>
    <col min="2819" max="2874" width="7.7109375" style="277" customWidth="1"/>
    <col min="2875" max="2875" width="13" style="277" customWidth="1"/>
    <col min="2876" max="2876" width="8.42578125" style="277" customWidth="1"/>
    <col min="2877" max="2877" width="8.140625" style="277" customWidth="1"/>
    <col min="2878" max="2883" width="8.140625" style="277" bestFit="1" customWidth="1"/>
    <col min="2884" max="2884" width="7.42578125" style="277" bestFit="1" customWidth="1"/>
    <col min="2885" max="2885" width="9" style="277" bestFit="1" customWidth="1"/>
    <col min="2886" max="2898" width="7.7109375" style="277" customWidth="1"/>
    <col min="2899" max="3072" width="8.85546875" style="277"/>
    <col min="3073" max="3073" width="38.42578125" style="277" customWidth="1"/>
    <col min="3074" max="3074" width="12.85546875" style="277" customWidth="1"/>
    <col min="3075" max="3130" width="7.7109375" style="277" customWidth="1"/>
    <col min="3131" max="3131" width="13" style="277" customWidth="1"/>
    <col min="3132" max="3132" width="8.42578125" style="277" customWidth="1"/>
    <col min="3133" max="3133" width="8.140625" style="277" customWidth="1"/>
    <col min="3134" max="3139" width="8.140625" style="277" bestFit="1" customWidth="1"/>
    <col min="3140" max="3140" width="7.42578125" style="277" bestFit="1" customWidth="1"/>
    <col min="3141" max="3141" width="9" style="277" bestFit="1" customWidth="1"/>
    <col min="3142" max="3154" width="7.7109375" style="277" customWidth="1"/>
    <col min="3155" max="3328" width="8.85546875" style="277"/>
    <col min="3329" max="3329" width="38.42578125" style="277" customWidth="1"/>
    <col min="3330" max="3330" width="12.85546875" style="277" customWidth="1"/>
    <col min="3331" max="3386" width="7.7109375" style="277" customWidth="1"/>
    <col min="3387" max="3387" width="13" style="277" customWidth="1"/>
    <col min="3388" max="3388" width="8.42578125" style="277" customWidth="1"/>
    <col min="3389" max="3389" width="8.140625" style="277" customWidth="1"/>
    <col min="3390" max="3395" width="8.140625" style="277" bestFit="1" customWidth="1"/>
    <col min="3396" max="3396" width="7.42578125" style="277" bestFit="1" customWidth="1"/>
    <col min="3397" max="3397" width="9" style="277" bestFit="1" customWidth="1"/>
    <col min="3398" max="3410" width="7.7109375" style="277" customWidth="1"/>
    <col min="3411" max="3584" width="8.85546875" style="277"/>
    <col min="3585" max="3585" width="38.42578125" style="277" customWidth="1"/>
    <col min="3586" max="3586" width="12.85546875" style="277" customWidth="1"/>
    <col min="3587" max="3642" width="7.7109375" style="277" customWidth="1"/>
    <col min="3643" max="3643" width="13" style="277" customWidth="1"/>
    <col min="3644" max="3644" width="8.42578125" style="277" customWidth="1"/>
    <col min="3645" max="3645" width="8.140625" style="277" customWidth="1"/>
    <col min="3646" max="3651" width="8.140625" style="277" bestFit="1" customWidth="1"/>
    <col min="3652" max="3652" width="7.42578125" style="277" bestFit="1" customWidth="1"/>
    <col min="3653" max="3653" width="9" style="277" bestFit="1" customWidth="1"/>
    <col min="3654" max="3666" width="7.7109375" style="277" customWidth="1"/>
    <col min="3667" max="3840" width="8.85546875" style="277"/>
    <col min="3841" max="3841" width="38.42578125" style="277" customWidth="1"/>
    <col min="3842" max="3842" width="12.85546875" style="277" customWidth="1"/>
    <col min="3843" max="3898" width="7.7109375" style="277" customWidth="1"/>
    <col min="3899" max="3899" width="13" style="277" customWidth="1"/>
    <col min="3900" max="3900" width="8.42578125" style="277" customWidth="1"/>
    <col min="3901" max="3901" width="8.140625" style="277" customWidth="1"/>
    <col min="3902" max="3907" width="8.140625" style="277" bestFit="1" customWidth="1"/>
    <col min="3908" max="3908" width="7.42578125" style="277" bestFit="1" customWidth="1"/>
    <col min="3909" max="3909" width="9" style="277" bestFit="1" customWidth="1"/>
    <col min="3910" max="3922" width="7.7109375" style="277" customWidth="1"/>
    <col min="3923" max="4096" width="8.85546875" style="277"/>
    <col min="4097" max="4097" width="38.42578125" style="277" customWidth="1"/>
    <col min="4098" max="4098" width="12.85546875" style="277" customWidth="1"/>
    <col min="4099" max="4154" width="7.7109375" style="277" customWidth="1"/>
    <col min="4155" max="4155" width="13" style="277" customWidth="1"/>
    <col min="4156" max="4156" width="8.42578125" style="277" customWidth="1"/>
    <col min="4157" max="4157" width="8.140625" style="277" customWidth="1"/>
    <col min="4158" max="4163" width="8.140625" style="277" bestFit="1" customWidth="1"/>
    <col min="4164" max="4164" width="7.42578125" style="277" bestFit="1" customWidth="1"/>
    <col min="4165" max="4165" width="9" style="277" bestFit="1" customWidth="1"/>
    <col min="4166" max="4178" width="7.7109375" style="277" customWidth="1"/>
    <col min="4179" max="4352" width="8.85546875" style="277"/>
    <col min="4353" max="4353" width="38.42578125" style="277" customWidth="1"/>
    <col min="4354" max="4354" width="12.85546875" style="277" customWidth="1"/>
    <col min="4355" max="4410" width="7.7109375" style="277" customWidth="1"/>
    <col min="4411" max="4411" width="13" style="277" customWidth="1"/>
    <col min="4412" max="4412" width="8.42578125" style="277" customWidth="1"/>
    <col min="4413" max="4413" width="8.140625" style="277" customWidth="1"/>
    <col min="4414" max="4419" width="8.140625" style="277" bestFit="1" customWidth="1"/>
    <col min="4420" max="4420" width="7.42578125" style="277" bestFit="1" customWidth="1"/>
    <col min="4421" max="4421" width="9" style="277" bestFit="1" customWidth="1"/>
    <col min="4422" max="4434" width="7.7109375" style="277" customWidth="1"/>
    <col min="4435" max="4608" width="8.85546875" style="277"/>
    <col min="4609" max="4609" width="38.42578125" style="277" customWidth="1"/>
    <col min="4610" max="4610" width="12.85546875" style="277" customWidth="1"/>
    <col min="4611" max="4666" width="7.7109375" style="277" customWidth="1"/>
    <col min="4667" max="4667" width="13" style="277" customWidth="1"/>
    <col min="4668" max="4668" width="8.42578125" style="277" customWidth="1"/>
    <col min="4669" max="4669" width="8.140625" style="277" customWidth="1"/>
    <col min="4670" max="4675" width="8.140625" style="277" bestFit="1" customWidth="1"/>
    <col min="4676" max="4676" width="7.42578125" style="277" bestFit="1" customWidth="1"/>
    <col min="4677" max="4677" width="9" style="277" bestFit="1" customWidth="1"/>
    <col min="4678" max="4690" width="7.7109375" style="277" customWidth="1"/>
    <col min="4691" max="4864" width="8.85546875" style="277"/>
    <col min="4865" max="4865" width="38.42578125" style="277" customWidth="1"/>
    <col min="4866" max="4866" width="12.85546875" style="277" customWidth="1"/>
    <col min="4867" max="4922" width="7.7109375" style="277" customWidth="1"/>
    <col min="4923" max="4923" width="13" style="277" customWidth="1"/>
    <col min="4924" max="4924" width="8.42578125" style="277" customWidth="1"/>
    <col min="4925" max="4925" width="8.140625" style="277" customWidth="1"/>
    <col min="4926" max="4931" width="8.140625" style="277" bestFit="1" customWidth="1"/>
    <col min="4932" max="4932" width="7.42578125" style="277" bestFit="1" customWidth="1"/>
    <col min="4933" max="4933" width="9" style="277" bestFit="1" customWidth="1"/>
    <col min="4934" max="4946" width="7.7109375" style="277" customWidth="1"/>
    <col min="4947" max="5120" width="8.85546875" style="277"/>
    <col min="5121" max="5121" width="38.42578125" style="277" customWidth="1"/>
    <col min="5122" max="5122" width="12.85546875" style="277" customWidth="1"/>
    <col min="5123" max="5178" width="7.7109375" style="277" customWidth="1"/>
    <col min="5179" max="5179" width="13" style="277" customWidth="1"/>
    <col min="5180" max="5180" width="8.42578125" style="277" customWidth="1"/>
    <col min="5181" max="5181" width="8.140625" style="277" customWidth="1"/>
    <col min="5182" max="5187" width="8.140625" style="277" bestFit="1" customWidth="1"/>
    <col min="5188" max="5188" width="7.42578125" style="277" bestFit="1" customWidth="1"/>
    <col min="5189" max="5189" width="9" style="277" bestFit="1" customWidth="1"/>
    <col min="5190" max="5202" width="7.7109375" style="277" customWidth="1"/>
    <col min="5203" max="5376" width="8.85546875" style="277"/>
    <col min="5377" max="5377" width="38.42578125" style="277" customWidth="1"/>
    <col min="5378" max="5378" width="12.85546875" style="277" customWidth="1"/>
    <col min="5379" max="5434" width="7.7109375" style="277" customWidth="1"/>
    <col min="5435" max="5435" width="13" style="277" customWidth="1"/>
    <col min="5436" max="5436" width="8.42578125" style="277" customWidth="1"/>
    <col min="5437" max="5437" width="8.140625" style="277" customWidth="1"/>
    <col min="5438" max="5443" width="8.140625" style="277" bestFit="1" customWidth="1"/>
    <col min="5444" max="5444" width="7.42578125" style="277" bestFit="1" customWidth="1"/>
    <col min="5445" max="5445" width="9" style="277" bestFit="1" customWidth="1"/>
    <col min="5446" max="5458" width="7.7109375" style="277" customWidth="1"/>
    <col min="5459" max="5632" width="8.85546875" style="277"/>
    <col min="5633" max="5633" width="38.42578125" style="277" customWidth="1"/>
    <col min="5634" max="5634" width="12.85546875" style="277" customWidth="1"/>
    <col min="5635" max="5690" width="7.7109375" style="277" customWidth="1"/>
    <col min="5691" max="5691" width="13" style="277" customWidth="1"/>
    <col min="5692" max="5692" width="8.42578125" style="277" customWidth="1"/>
    <col min="5693" max="5693" width="8.140625" style="277" customWidth="1"/>
    <col min="5694" max="5699" width="8.140625" style="277" bestFit="1" customWidth="1"/>
    <col min="5700" max="5700" width="7.42578125" style="277" bestFit="1" customWidth="1"/>
    <col min="5701" max="5701" width="9" style="277" bestFit="1" customWidth="1"/>
    <col min="5702" max="5714" width="7.7109375" style="277" customWidth="1"/>
    <col min="5715" max="5888" width="8.85546875" style="277"/>
    <col min="5889" max="5889" width="38.42578125" style="277" customWidth="1"/>
    <col min="5890" max="5890" width="12.85546875" style="277" customWidth="1"/>
    <col min="5891" max="5946" width="7.7109375" style="277" customWidth="1"/>
    <col min="5947" max="5947" width="13" style="277" customWidth="1"/>
    <col min="5948" max="5948" width="8.42578125" style="277" customWidth="1"/>
    <col min="5949" max="5949" width="8.140625" style="277" customWidth="1"/>
    <col min="5950" max="5955" width="8.140625" style="277" bestFit="1" customWidth="1"/>
    <col min="5956" max="5956" width="7.42578125" style="277" bestFit="1" customWidth="1"/>
    <col min="5957" max="5957" width="9" style="277" bestFit="1" customWidth="1"/>
    <col min="5958" max="5970" width="7.7109375" style="277" customWidth="1"/>
    <col min="5971" max="6144" width="8.85546875" style="277"/>
    <col min="6145" max="6145" width="38.42578125" style="277" customWidth="1"/>
    <col min="6146" max="6146" width="12.85546875" style="277" customWidth="1"/>
    <col min="6147" max="6202" width="7.7109375" style="277" customWidth="1"/>
    <col min="6203" max="6203" width="13" style="277" customWidth="1"/>
    <col min="6204" max="6204" width="8.42578125" style="277" customWidth="1"/>
    <col min="6205" max="6205" width="8.140625" style="277" customWidth="1"/>
    <col min="6206" max="6211" width="8.140625" style="277" bestFit="1" customWidth="1"/>
    <col min="6212" max="6212" width="7.42578125" style="277" bestFit="1" customWidth="1"/>
    <col min="6213" max="6213" width="9" style="277" bestFit="1" customWidth="1"/>
    <col min="6214" max="6226" width="7.7109375" style="277" customWidth="1"/>
    <col min="6227" max="6400" width="8.85546875" style="277"/>
    <col min="6401" max="6401" width="38.42578125" style="277" customWidth="1"/>
    <col min="6402" max="6402" width="12.85546875" style="277" customWidth="1"/>
    <col min="6403" max="6458" width="7.7109375" style="277" customWidth="1"/>
    <col min="6459" max="6459" width="13" style="277" customWidth="1"/>
    <col min="6460" max="6460" width="8.42578125" style="277" customWidth="1"/>
    <col min="6461" max="6461" width="8.140625" style="277" customWidth="1"/>
    <col min="6462" max="6467" width="8.140625" style="277" bestFit="1" customWidth="1"/>
    <col min="6468" max="6468" width="7.42578125" style="277" bestFit="1" customWidth="1"/>
    <col min="6469" max="6469" width="9" style="277" bestFit="1" customWidth="1"/>
    <col min="6470" max="6482" width="7.7109375" style="277" customWidth="1"/>
    <col min="6483" max="6656" width="8.85546875" style="277"/>
    <col min="6657" max="6657" width="38.42578125" style="277" customWidth="1"/>
    <col min="6658" max="6658" width="12.85546875" style="277" customWidth="1"/>
    <col min="6659" max="6714" width="7.7109375" style="277" customWidth="1"/>
    <col min="6715" max="6715" width="13" style="277" customWidth="1"/>
    <col min="6716" max="6716" width="8.42578125" style="277" customWidth="1"/>
    <col min="6717" max="6717" width="8.140625" style="277" customWidth="1"/>
    <col min="6718" max="6723" width="8.140625" style="277" bestFit="1" customWidth="1"/>
    <col min="6724" max="6724" width="7.42578125" style="277" bestFit="1" customWidth="1"/>
    <col min="6725" max="6725" width="9" style="277" bestFit="1" customWidth="1"/>
    <col min="6726" max="6738" width="7.7109375" style="277" customWidth="1"/>
    <col min="6739" max="6912" width="8.85546875" style="277"/>
    <col min="6913" max="6913" width="38.42578125" style="277" customWidth="1"/>
    <col min="6914" max="6914" width="12.85546875" style="277" customWidth="1"/>
    <col min="6915" max="6970" width="7.7109375" style="277" customWidth="1"/>
    <col min="6971" max="6971" width="13" style="277" customWidth="1"/>
    <col min="6972" max="6972" width="8.42578125" style="277" customWidth="1"/>
    <col min="6973" max="6973" width="8.140625" style="277" customWidth="1"/>
    <col min="6974" max="6979" width="8.140625" style="277" bestFit="1" customWidth="1"/>
    <col min="6980" max="6980" width="7.42578125" style="277" bestFit="1" customWidth="1"/>
    <col min="6981" max="6981" width="9" style="277" bestFit="1" customWidth="1"/>
    <col min="6982" max="6994" width="7.7109375" style="277" customWidth="1"/>
    <col min="6995" max="7168" width="8.85546875" style="277"/>
    <col min="7169" max="7169" width="38.42578125" style="277" customWidth="1"/>
    <col min="7170" max="7170" width="12.85546875" style="277" customWidth="1"/>
    <col min="7171" max="7226" width="7.7109375" style="277" customWidth="1"/>
    <col min="7227" max="7227" width="13" style="277" customWidth="1"/>
    <col min="7228" max="7228" width="8.42578125" style="277" customWidth="1"/>
    <col min="7229" max="7229" width="8.140625" style="277" customWidth="1"/>
    <col min="7230" max="7235" width="8.140625" style="277" bestFit="1" customWidth="1"/>
    <col min="7236" max="7236" width="7.42578125" style="277" bestFit="1" customWidth="1"/>
    <col min="7237" max="7237" width="9" style="277" bestFit="1" customWidth="1"/>
    <col min="7238" max="7250" width="7.7109375" style="277" customWidth="1"/>
    <col min="7251" max="7424" width="8.85546875" style="277"/>
    <col min="7425" max="7425" width="38.42578125" style="277" customWidth="1"/>
    <col min="7426" max="7426" width="12.85546875" style="277" customWidth="1"/>
    <col min="7427" max="7482" width="7.7109375" style="277" customWidth="1"/>
    <col min="7483" max="7483" width="13" style="277" customWidth="1"/>
    <col min="7484" max="7484" width="8.42578125" style="277" customWidth="1"/>
    <col min="7485" max="7485" width="8.140625" style="277" customWidth="1"/>
    <col min="7486" max="7491" width="8.140625" style="277" bestFit="1" customWidth="1"/>
    <col min="7492" max="7492" width="7.42578125" style="277" bestFit="1" customWidth="1"/>
    <col min="7493" max="7493" width="9" style="277" bestFit="1" customWidth="1"/>
    <col min="7494" max="7506" width="7.7109375" style="277" customWidth="1"/>
    <col min="7507" max="7680" width="8.85546875" style="277"/>
    <col min="7681" max="7681" width="38.42578125" style="277" customWidth="1"/>
    <col min="7682" max="7682" width="12.85546875" style="277" customWidth="1"/>
    <col min="7683" max="7738" width="7.7109375" style="277" customWidth="1"/>
    <col min="7739" max="7739" width="13" style="277" customWidth="1"/>
    <col min="7740" max="7740" width="8.42578125" style="277" customWidth="1"/>
    <col min="7741" max="7741" width="8.140625" style="277" customWidth="1"/>
    <col min="7742" max="7747" width="8.140625" style="277" bestFit="1" customWidth="1"/>
    <col min="7748" max="7748" width="7.42578125" style="277" bestFit="1" customWidth="1"/>
    <col min="7749" max="7749" width="9" style="277" bestFit="1" customWidth="1"/>
    <col min="7750" max="7762" width="7.7109375" style="277" customWidth="1"/>
    <col min="7763" max="7936" width="8.85546875" style="277"/>
    <col min="7937" max="7937" width="38.42578125" style="277" customWidth="1"/>
    <col min="7938" max="7938" width="12.85546875" style="277" customWidth="1"/>
    <col min="7939" max="7994" width="7.7109375" style="277" customWidth="1"/>
    <col min="7995" max="7995" width="13" style="277" customWidth="1"/>
    <col min="7996" max="7996" width="8.42578125" style="277" customWidth="1"/>
    <col min="7997" max="7997" width="8.140625" style="277" customWidth="1"/>
    <col min="7998" max="8003" width="8.140625" style="277" bestFit="1" customWidth="1"/>
    <col min="8004" max="8004" width="7.42578125" style="277" bestFit="1" customWidth="1"/>
    <col min="8005" max="8005" width="9" style="277" bestFit="1" customWidth="1"/>
    <col min="8006" max="8018" width="7.7109375" style="277" customWidth="1"/>
    <col min="8019" max="8192" width="8.85546875" style="277"/>
    <col min="8193" max="8193" width="38.42578125" style="277" customWidth="1"/>
    <col min="8194" max="8194" width="12.85546875" style="277" customWidth="1"/>
    <col min="8195" max="8250" width="7.7109375" style="277" customWidth="1"/>
    <col min="8251" max="8251" width="13" style="277" customWidth="1"/>
    <col min="8252" max="8252" width="8.42578125" style="277" customWidth="1"/>
    <col min="8253" max="8253" width="8.140625" style="277" customWidth="1"/>
    <col min="8254" max="8259" width="8.140625" style="277" bestFit="1" customWidth="1"/>
    <col min="8260" max="8260" width="7.42578125" style="277" bestFit="1" customWidth="1"/>
    <col min="8261" max="8261" width="9" style="277" bestFit="1" customWidth="1"/>
    <col min="8262" max="8274" width="7.7109375" style="277" customWidth="1"/>
    <col min="8275" max="8448" width="8.85546875" style="277"/>
    <col min="8449" max="8449" width="38.42578125" style="277" customWidth="1"/>
    <col min="8450" max="8450" width="12.85546875" style="277" customWidth="1"/>
    <col min="8451" max="8506" width="7.7109375" style="277" customWidth="1"/>
    <col min="8507" max="8507" width="13" style="277" customWidth="1"/>
    <col min="8508" max="8508" width="8.42578125" style="277" customWidth="1"/>
    <col min="8509" max="8509" width="8.140625" style="277" customWidth="1"/>
    <col min="8510" max="8515" width="8.140625" style="277" bestFit="1" customWidth="1"/>
    <col min="8516" max="8516" width="7.42578125" style="277" bestFit="1" customWidth="1"/>
    <col min="8517" max="8517" width="9" style="277" bestFit="1" customWidth="1"/>
    <col min="8518" max="8530" width="7.7109375" style="277" customWidth="1"/>
    <col min="8531" max="8704" width="8.85546875" style="277"/>
    <col min="8705" max="8705" width="38.42578125" style="277" customWidth="1"/>
    <col min="8706" max="8706" width="12.85546875" style="277" customWidth="1"/>
    <col min="8707" max="8762" width="7.7109375" style="277" customWidth="1"/>
    <col min="8763" max="8763" width="13" style="277" customWidth="1"/>
    <col min="8764" max="8764" width="8.42578125" style="277" customWidth="1"/>
    <col min="8765" max="8765" width="8.140625" style="277" customWidth="1"/>
    <col min="8766" max="8771" width="8.140625" style="277" bestFit="1" customWidth="1"/>
    <col min="8772" max="8772" width="7.42578125" style="277" bestFit="1" customWidth="1"/>
    <col min="8773" max="8773" width="9" style="277" bestFit="1" customWidth="1"/>
    <col min="8774" max="8786" width="7.7109375" style="277" customWidth="1"/>
    <col min="8787" max="8960" width="8.85546875" style="277"/>
    <col min="8961" max="8961" width="38.42578125" style="277" customWidth="1"/>
    <col min="8962" max="8962" width="12.85546875" style="277" customWidth="1"/>
    <col min="8963" max="9018" width="7.7109375" style="277" customWidth="1"/>
    <col min="9019" max="9019" width="13" style="277" customWidth="1"/>
    <col min="9020" max="9020" width="8.42578125" style="277" customWidth="1"/>
    <col min="9021" max="9021" width="8.140625" style="277" customWidth="1"/>
    <col min="9022" max="9027" width="8.140625" style="277" bestFit="1" customWidth="1"/>
    <col min="9028" max="9028" width="7.42578125" style="277" bestFit="1" customWidth="1"/>
    <col min="9029" max="9029" width="9" style="277" bestFit="1" customWidth="1"/>
    <col min="9030" max="9042" width="7.7109375" style="277" customWidth="1"/>
    <col min="9043" max="9216" width="8.85546875" style="277"/>
    <col min="9217" max="9217" width="38.42578125" style="277" customWidth="1"/>
    <col min="9218" max="9218" width="12.85546875" style="277" customWidth="1"/>
    <col min="9219" max="9274" width="7.7109375" style="277" customWidth="1"/>
    <col min="9275" max="9275" width="13" style="277" customWidth="1"/>
    <col min="9276" max="9276" width="8.42578125" style="277" customWidth="1"/>
    <col min="9277" max="9277" width="8.140625" style="277" customWidth="1"/>
    <col min="9278" max="9283" width="8.140625" style="277" bestFit="1" customWidth="1"/>
    <col min="9284" max="9284" width="7.42578125" style="277" bestFit="1" customWidth="1"/>
    <col min="9285" max="9285" width="9" style="277" bestFit="1" customWidth="1"/>
    <col min="9286" max="9298" width="7.7109375" style="277" customWidth="1"/>
    <col min="9299" max="9472" width="8.85546875" style="277"/>
    <col min="9473" max="9473" width="38.42578125" style="277" customWidth="1"/>
    <col min="9474" max="9474" width="12.85546875" style="277" customWidth="1"/>
    <col min="9475" max="9530" width="7.7109375" style="277" customWidth="1"/>
    <col min="9531" max="9531" width="13" style="277" customWidth="1"/>
    <col min="9532" max="9532" width="8.42578125" style="277" customWidth="1"/>
    <col min="9533" max="9533" width="8.140625" style="277" customWidth="1"/>
    <col min="9534" max="9539" width="8.140625" style="277" bestFit="1" customWidth="1"/>
    <col min="9540" max="9540" width="7.42578125" style="277" bestFit="1" customWidth="1"/>
    <col min="9541" max="9541" width="9" style="277" bestFit="1" customWidth="1"/>
    <col min="9542" max="9554" width="7.7109375" style="277" customWidth="1"/>
    <col min="9555" max="9728" width="8.85546875" style="277"/>
    <col min="9729" max="9729" width="38.42578125" style="277" customWidth="1"/>
    <col min="9730" max="9730" width="12.85546875" style="277" customWidth="1"/>
    <col min="9731" max="9786" width="7.7109375" style="277" customWidth="1"/>
    <col min="9787" max="9787" width="13" style="277" customWidth="1"/>
    <col min="9788" max="9788" width="8.42578125" style="277" customWidth="1"/>
    <col min="9789" max="9789" width="8.140625" style="277" customWidth="1"/>
    <col min="9790" max="9795" width="8.140625" style="277" bestFit="1" customWidth="1"/>
    <col min="9796" max="9796" width="7.42578125" style="277" bestFit="1" customWidth="1"/>
    <col min="9797" max="9797" width="9" style="277" bestFit="1" customWidth="1"/>
    <col min="9798" max="9810" width="7.7109375" style="277" customWidth="1"/>
    <col min="9811" max="9984" width="8.85546875" style="277"/>
    <col min="9985" max="9985" width="38.42578125" style="277" customWidth="1"/>
    <col min="9986" max="9986" width="12.85546875" style="277" customWidth="1"/>
    <col min="9987" max="10042" width="7.7109375" style="277" customWidth="1"/>
    <col min="10043" max="10043" width="13" style="277" customWidth="1"/>
    <col min="10044" max="10044" width="8.42578125" style="277" customWidth="1"/>
    <col min="10045" max="10045" width="8.140625" style="277" customWidth="1"/>
    <col min="10046" max="10051" width="8.140625" style="277" bestFit="1" customWidth="1"/>
    <col min="10052" max="10052" width="7.42578125" style="277" bestFit="1" customWidth="1"/>
    <col min="10053" max="10053" width="9" style="277" bestFit="1" customWidth="1"/>
    <col min="10054" max="10066" width="7.7109375" style="277" customWidth="1"/>
    <col min="10067" max="10240" width="8.85546875" style="277"/>
    <col min="10241" max="10241" width="38.42578125" style="277" customWidth="1"/>
    <col min="10242" max="10242" width="12.85546875" style="277" customWidth="1"/>
    <col min="10243" max="10298" width="7.7109375" style="277" customWidth="1"/>
    <col min="10299" max="10299" width="13" style="277" customWidth="1"/>
    <col min="10300" max="10300" width="8.42578125" style="277" customWidth="1"/>
    <col min="10301" max="10301" width="8.140625" style="277" customWidth="1"/>
    <col min="10302" max="10307" width="8.140625" style="277" bestFit="1" customWidth="1"/>
    <col min="10308" max="10308" width="7.42578125" style="277" bestFit="1" customWidth="1"/>
    <col min="10309" max="10309" width="9" style="277" bestFit="1" customWidth="1"/>
    <col min="10310" max="10322" width="7.7109375" style="277" customWidth="1"/>
    <col min="10323" max="10496" width="8.85546875" style="277"/>
    <col min="10497" max="10497" width="38.42578125" style="277" customWidth="1"/>
    <col min="10498" max="10498" width="12.85546875" style="277" customWidth="1"/>
    <col min="10499" max="10554" width="7.7109375" style="277" customWidth="1"/>
    <col min="10555" max="10555" width="13" style="277" customWidth="1"/>
    <col min="10556" max="10556" width="8.42578125" style="277" customWidth="1"/>
    <col min="10557" max="10557" width="8.140625" style="277" customWidth="1"/>
    <col min="10558" max="10563" width="8.140625" style="277" bestFit="1" customWidth="1"/>
    <col min="10564" max="10564" width="7.42578125" style="277" bestFit="1" customWidth="1"/>
    <col min="10565" max="10565" width="9" style="277" bestFit="1" customWidth="1"/>
    <col min="10566" max="10578" width="7.7109375" style="277" customWidth="1"/>
    <col min="10579" max="10752" width="8.85546875" style="277"/>
    <col min="10753" max="10753" width="38.42578125" style="277" customWidth="1"/>
    <col min="10754" max="10754" width="12.85546875" style="277" customWidth="1"/>
    <col min="10755" max="10810" width="7.7109375" style="277" customWidth="1"/>
    <col min="10811" max="10811" width="13" style="277" customWidth="1"/>
    <col min="10812" max="10812" width="8.42578125" style="277" customWidth="1"/>
    <col min="10813" max="10813" width="8.140625" style="277" customWidth="1"/>
    <col min="10814" max="10819" width="8.140625" style="277" bestFit="1" customWidth="1"/>
    <col min="10820" max="10820" width="7.42578125" style="277" bestFit="1" customWidth="1"/>
    <col min="10821" max="10821" width="9" style="277" bestFit="1" customWidth="1"/>
    <col min="10822" max="10834" width="7.7109375" style="277" customWidth="1"/>
    <col min="10835" max="11008" width="8.85546875" style="277"/>
    <col min="11009" max="11009" width="38.42578125" style="277" customWidth="1"/>
    <col min="11010" max="11010" width="12.85546875" style="277" customWidth="1"/>
    <col min="11011" max="11066" width="7.7109375" style="277" customWidth="1"/>
    <col min="11067" max="11067" width="13" style="277" customWidth="1"/>
    <col min="11068" max="11068" width="8.42578125" style="277" customWidth="1"/>
    <col min="11069" max="11069" width="8.140625" style="277" customWidth="1"/>
    <col min="11070" max="11075" width="8.140625" style="277" bestFit="1" customWidth="1"/>
    <col min="11076" max="11076" width="7.42578125" style="277" bestFit="1" customWidth="1"/>
    <col min="11077" max="11077" width="9" style="277" bestFit="1" customWidth="1"/>
    <col min="11078" max="11090" width="7.7109375" style="277" customWidth="1"/>
    <col min="11091" max="11264" width="8.85546875" style="277"/>
    <col min="11265" max="11265" width="38.42578125" style="277" customWidth="1"/>
    <col min="11266" max="11266" width="12.85546875" style="277" customWidth="1"/>
    <col min="11267" max="11322" width="7.7109375" style="277" customWidth="1"/>
    <col min="11323" max="11323" width="13" style="277" customWidth="1"/>
    <col min="11324" max="11324" width="8.42578125" style="277" customWidth="1"/>
    <col min="11325" max="11325" width="8.140625" style="277" customWidth="1"/>
    <col min="11326" max="11331" width="8.140625" style="277" bestFit="1" customWidth="1"/>
    <col min="11332" max="11332" width="7.42578125" style="277" bestFit="1" customWidth="1"/>
    <col min="11333" max="11333" width="9" style="277" bestFit="1" customWidth="1"/>
    <col min="11334" max="11346" width="7.7109375" style="277" customWidth="1"/>
    <col min="11347" max="11520" width="8.85546875" style="277"/>
    <col min="11521" max="11521" width="38.42578125" style="277" customWidth="1"/>
    <col min="11522" max="11522" width="12.85546875" style="277" customWidth="1"/>
    <col min="11523" max="11578" width="7.7109375" style="277" customWidth="1"/>
    <col min="11579" max="11579" width="13" style="277" customWidth="1"/>
    <col min="11580" max="11580" width="8.42578125" style="277" customWidth="1"/>
    <col min="11581" max="11581" width="8.140625" style="277" customWidth="1"/>
    <col min="11582" max="11587" width="8.140625" style="277" bestFit="1" customWidth="1"/>
    <col min="11588" max="11588" width="7.42578125" style="277" bestFit="1" customWidth="1"/>
    <col min="11589" max="11589" width="9" style="277" bestFit="1" customWidth="1"/>
    <col min="11590" max="11602" width="7.7109375" style="277" customWidth="1"/>
    <col min="11603" max="11776" width="8.85546875" style="277"/>
    <col min="11777" max="11777" width="38.42578125" style="277" customWidth="1"/>
    <col min="11778" max="11778" width="12.85546875" style="277" customWidth="1"/>
    <col min="11779" max="11834" width="7.7109375" style="277" customWidth="1"/>
    <col min="11835" max="11835" width="13" style="277" customWidth="1"/>
    <col min="11836" max="11836" width="8.42578125" style="277" customWidth="1"/>
    <col min="11837" max="11837" width="8.140625" style="277" customWidth="1"/>
    <col min="11838" max="11843" width="8.140625" style="277" bestFit="1" customWidth="1"/>
    <col min="11844" max="11844" width="7.42578125" style="277" bestFit="1" customWidth="1"/>
    <col min="11845" max="11845" width="9" style="277" bestFit="1" customWidth="1"/>
    <col min="11846" max="11858" width="7.7109375" style="277" customWidth="1"/>
    <col min="11859" max="12032" width="8.85546875" style="277"/>
    <col min="12033" max="12033" width="38.42578125" style="277" customWidth="1"/>
    <col min="12034" max="12034" width="12.85546875" style="277" customWidth="1"/>
    <col min="12035" max="12090" width="7.7109375" style="277" customWidth="1"/>
    <col min="12091" max="12091" width="13" style="277" customWidth="1"/>
    <col min="12092" max="12092" width="8.42578125" style="277" customWidth="1"/>
    <col min="12093" max="12093" width="8.140625" style="277" customWidth="1"/>
    <col min="12094" max="12099" width="8.140625" style="277" bestFit="1" customWidth="1"/>
    <col min="12100" max="12100" width="7.42578125" style="277" bestFit="1" customWidth="1"/>
    <col min="12101" max="12101" width="9" style="277" bestFit="1" customWidth="1"/>
    <col min="12102" max="12114" width="7.7109375" style="277" customWidth="1"/>
    <col min="12115" max="12288" width="8.85546875" style="277"/>
    <col min="12289" max="12289" width="38.42578125" style="277" customWidth="1"/>
    <col min="12290" max="12290" width="12.85546875" style="277" customWidth="1"/>
    <col min="12291" max="12346" width="7.7109375" style="277" customWidth="1"/>
    <col min="12347" max="12347" width="13" style="277" customWidth="1"/>
    <col min="12348" max="12348" width="8.42578125" style="277" customWidth="1"/>
    <col min="12349" max="12349" width="8.140625" style="277" customWidth="1"/>
    <col min="12350" max="12355" width="8.140625" style="277" bestFit="1" customWidth="1"/>
    <col min="12356" max="12356" width="7.42578125" style="277" bestFit="1" customWidth="1"/>
    <col min="12357" max="12357" width="9" style="277" bestFit="1" customWidth="1"/>
    <col min="12358" max="12370" width="7.7109375" style="277" customWidth="1"/>
    <col min="12371" max="12544" width="8.85546875" style="277"/>
    <col min="12545" max="12545" width="38.42578125" style="277" customWidth="1"/>
    <col min="12546" max="12546" width="12.85546875" style="277" customWidth="1"/>
    <col min="12547" max="12602" width="7.7109375" style="277" customWidth="1"/>
    <col min="12603" max="12603" width="13" style="277" customWidth="1"/>
    <col min="12604" max="12604" width="8.42578125" style="277" customWidth="1"/>
    <col min="12605" max="12605" width="8.140625" style="277" customWidth="1"/>
    <col min="12606" max="12611" width="8.140625" style="277" bestFit="1" customWidth="1"/>
    <col min="12612" max="12612" width="7.42578125" style="277" bestFit="1" customWidth="1"/>
    <col min="12613" max="12613" width="9" style="277" bestFit="1" customWidth="1"/>
    <col min="12614" max="12626" width="7.7109375" style="277" customWidth="1"/>
    <col min="12627" max="12800" width="8.85546875" style="277"/>
    <col min="12801" max="12801" width="38.42578125" style="277" customWidth="1"/>
    <col min="12802" max="12802" width="12.85546875" style="277" customWidth="1"/>
    <col min="12803" max="12858" width="7.7109375" style="277" customWidth="1"/>
    <col min="12859" max="12859" width="13" style="277" customWidth="1"/>
    <col min="12860" max="12860" width="8.42578125" style="277" customWidth="1"/>
    <col min="12861" max="12861" width="8.140625" style="277" customWidth="1"/>
    <col min="12862" max="12867" width="8.140625" style="277" bestFit="1" customWidth="1"/>
    <col min="12868" max="12868" width="7.42578125" style="277" bestFit="1" customWidth="1"/>
    <col min="12869" max="12869" width="9" style="277" bestFit="1" customWidth="1"/>
    <col min="12870" max="12882" width="7.7109375" style="277" customWidth="1"/>
    <col min="12883" max="13056" width="8.85546875" style="277"/>
    <col min="13057" max="13057" width="38.42578125" style="277" customWidth="1"/>
    <col min="13058" max="13058" width="12.85546875" style="277" customWidth="1"/>
    <col min="13059" max="13114" width="7.7109375" style="277" customWidth="1"/>
    <col min="13115" max="13115" width="13" style="277" customWidth="1"/>
    <col min="13116" max="13116" width="8.42578125" style="277" customWidth="1"/>
    <col min="13117" max="13117" width="8.140625" style="277" customWidth="1"/>
    <col min="13118" max="13123" width="8.140625" style="277" bestFit="1" customWidth="1"/>
    <col min="13124" max="13124" width="7.42578125" style="277" bestFit="1" customWidth="1"/>
    <col min="13125" max="13125" width="9" style="277" bestFit="1" customWidth="1"/>
    <col min="13126" max="13138" width="7.7109375" style="277" customWidth="1"/>
    <col min="13139" max="13312" width="8.85546875" style="277"/>
    <col min="13313" max="13313" width="38.42578125" style="277" customWidth="1"/>
    <col min="13314" max="13314" width="12.85546875" style="277" customWidth="1"/>
    <col min="13315" max="13370" width="7.7109375" style="277" customWidth="1"/>
    <col min="13371" max="13371" width="13" style="277" customWidth="1"/>
    <col min="13372" max="13372" width="8.42578125" style="277" customWidth="1"/>
    <col min="13373" max="13373" width="8.140625" style="277" customWidth="1"/>
    <col min="13374" max="13379" width="8.140625" style="277" bestFit="1" customWidth="1"/>
    <col min="13380" max="13380" width="7.42578125" style="277" bestFit="1" customWidth="1"/>
    <col min="13381" max="13381" width="9" style="277" bestFit="1" customWidth="1"/>
    <col min="13382" max="13394" width="7.7109375" style="277" customWidth="1"/>
    <col min="13395" max="13568" width="8.85546875" style="277"/>
    <col min="13569" max="13569" width="38.42578125" style="277" customWidth="1"/>
    <col min="13570" max="13570" width="12.85546875" style="277" customWidth="1"/>
    <col min="13571" max="13626" width="7.7109375" style="277" customWidth="1"/>
    <col min="13627" max="13627" width="13" style="277" customWidth="1"/>
    <col min="13628" max="13628" width="8.42578125" style="277" customWidth="1"/>
    <col min="13629" max="13629" width="8.140625" style="277" customWidth="1"/>
    <col min="13630" max="13635" width="8.140625" style="277" bestFit="1" customWidth="1"/>
    <col min="13636" max="13636" width="7.42578125" style="277" bestFit="1" customWidth="1"/>
    <col min="13637" max="13637" width="9" style="277" bestFit="1" customWidth="1"/>
    <col min="13638" max="13650" width="7.7109375" style="277" customWidth="1"/>
    <col min="13651" max="13824" width="8.85546875" style="277"/>
    <col min="13825" max="13825" width="38.42578125" style="277" customWidth="1"/>
    <col min="13826" max="13826" width="12.85546875" style="277" customWidth="1"/>
    <col min="13827" max="13882" width="7.7109375" style="277" customWidth="1"/>
    <col min="13883" max="13883" width="13" style="277" customWidth="1"/>
    <col min="13884" max="13884" width="8.42578125" style="277" customWidth="1"/>
    <col min="13885" max="13885" width="8.140625" style="277" customWidth="1"/>
    <col min="13886" max="13891" width="8.140625" style="277" bestFit="1" customWidth="1"/>
    <col min="13892" max="13892" width="7.42578125" style="277" bestFit="1" customWidth="1"/>
    <col min="13893" max="13893" width="9" style="277" bestFit="1" customWidth="1"/>
    <col min="13894" max="13906" width="7.7109375" style="277" customWidth="1"/>
    <col min="13907" max="14080" width="8.85546875" style="277"/>
    <col min="14081" max="14081" width="38.42578125" style="277" customWidth="1"/>
    <col min="14082" max="14082" width="12.85546875" style="277" customWidth="1"/>
    <col min="14083" max="14138" width="7.7109375" style="277" customWidth="1"/>
    <col min="14139" max="14139" width="13" style="277" customWidth="1"/>
    <col min="14140" max="14140" width="8.42578125" style="277" customWidth="1"/>
    <col min="14141" max="14141" width="8.140625" style="277" customWidth="1"/>
    <col min="14142" max="14147" width="8.140625" style="277" bestFit="1" customWidth="1"/>
    <col min="14148" max="14148" width="7.42578125" style="277" bestFit="1" customWidth="1"/>
    <col min="14149" max="14149" width="9" style="277" bestFit="1" customWidth="1"/>
    <col min="14150" max="14162" width="7.7109375" style="277" customWidth="1"/>
    <col min="14163" max="14336" width="8.85546875" style="277"/>
    <col min="14337" max="14337" width="38.42578125" style="277" customWidth="1"/>
    <col min="14338" max="14338" width="12.85546875" style="277" customWidth="1"/>
    <col min="14339" max="14394" width="7.7109375" style="277" customWidth="1"/>
    <col min="14395" max="14395" width="13" style="277" customWidth="1"/>
    <col min="14396" max="14396" width="8.42578125" style="277" customWidth="1"/>
    <col min="14397" max="14397" width="8.140625" style="277" customWidth="1"/>
    <col min="14398" max="14403" width="8.140625" style="277" bestFit="1" customWidth="1"/>
    <col min="14404" max="14404" width="7.42578125" style="277" bestFit="1" customWidth="1"/>
    <col min="14405" max="14405" width="9" style="277" bestFit="1" customWidth="1"/>
    <col min="14406" max="14418" width="7.7109375" style="277" customWidth="1"/>
    <col min="14419" max="14592" width="8.85546875" style="277"/>
    <col min="14593" max="14593" width="38.42578125" style="277" customWidth="1"/>
    <col min="14594" max="14594" width="12.85546875" style="277" customWidth="1"/>
    <col min="14595" max="14650" width="7.7109375" style="277" customWidth="1"/>
    <col min="14651" max="14651" width="13" style="277" customWidth="1"/>
    <col min="14652" max="14652" width="8.42578125" style="277" customWidth="1"/>
    <col min="14653" max="14653" width="8.140625" style="277" customWidth="1"/>
    <col min="14654" max="14659" width="8.140625" style="277" bestFit="1" customWidth="1"/>
    <col min="14660" max="14660" width="7.42578125" style="277" bestFit="1" customWidth="1"/>
    <col min="14661" max="14661" width="9" style="277" bestFit="1" customWidth="1"/>
    <col min="14662" max="14674" width="7.7109375" style="277" customWidth="1"/>
    <col min="14675" max="14848" width="8.85546875" style="277"/>
    <col min="14849" max="14849" width="38.42578125" style="277" customWidth="1"/>
    <col min="14850" max="14850" width="12.85546875" style="277" customWidth="1"/>
    <col min="14851" max="14906" width="7.7109375" style="277" customWidth="1"/>
    <col min="14907" max="14907" width="13" style="277" customWidth="1"/>
    <col min="14908" max="14908" width="8.42578125" style="277" customWidth="1"/>
    <col min="14909" max="14909" width="8.140625" style="277" customWidth="1"/>
    <col min="14910" max="14915" width="8.140625" style="277" bestFit="1" customWidth="1"/>
    <col min="14916" max="14916" width="7.42578125" style="277" bestFit="1" customWidth="1"/>
    <col min="14917" max="14917" width="9" style="277" bestFit="1" customWidth="1"/>
    <col min="14918" max="14930" width="7.7109375" style="277" customWidth="1"/>
    <col min="14931" max="15104" width="8.85546875" style="277"/>
    <col min="15105" max="15105" width="38.42578125" style="277" customWidth="1"/>
    <col min="15106" max="15106" width="12.85546875" style="277" customWidth="1"/>
    <col min="15107" max="15162" width="7.7109375" style="277" customWidth="1"/>
    <col min="15163" max="15163" width="13" style="277" customWidth="1"/>
    <col min="15164" max="15164" width="8.42578125" style="277" customWidth="1"/>
    <col min="15165" max="15165" width="8.140625" style="277" customWidth="1"/>
    <col min="15166" max="15171" width="8.140625" style="277" bestFit="1" customWidth="1"/>
    <col min="15172" max="15172" width="7.42578125" style="277" bestFit="1" customWidth="1"/>
    <col min="15173" max="15173" width="9" style="277" bestFit="1" customWidth="1"/>
    <col min="15174" max="15186" width="7.7109375" style="277" customWidth="1"/>
    <col min="15187" max="15360" width="8.85546875" style="277"/>
    <col min="15361" max="15361" width="38.42578125" style="277" customWidth="1"/>
    <col min="15362" max="15362" width="12.85546875" style="277" customWidth="1"/>
    <col min="15363" max="15418" width="7.7109375" style="277" customWidth="1"/>
    <col min="15419" max="15419" width="13" style="277" customWidth="1"/>
    <col min="15420" max="15420" width="8.42578125" style="277" customWidth="1"/>
    <col min="15421" max="15421" width="8.140625" style="277" customWidth="1"/>
    <col min="15422" max="15427" width="8.140625" style="277" bestFit="1" customWidth="1"/>
    <col min="15428" max="15428" width="7.42578125" style="277" bestFit="1" customWidth="1"/>
    <col min="15429" max="15429" width="9" style="277" bestFit="1" customWidth="1"/>
    <col min="15430" max="15442" width="7.7109375" style="277" customWidth="1"/>
    <col min="15443" max="15616" width="8.85546875" style="277"/>
    <col min="15617" max="15617" width="38.42578125" style="277" customWidth="1"/>
    <col min="15618" max="15618" width="12.85546875" style="277" customWidth="1"/>
    <col min="15619" max="15674" width="7.7109375" style="277" customWidth="1"/>
    <col min="15675" max="15675" width="13" style="277" customWidth="1"/>
    <col min="15676" max="15676" width="8.42578125" style="277" customWidth="1"/>
    <col min="15677" max="15677" width="8.140625" style="277" customWidth="1"/>
    <col min="15678" max="15683" width="8.140625" style="277" bestFit="1" customWidth="1"/>
    <col min="15684" max="15684" width="7.42578125" style="277" bestFit="1" customWidth="1"/>
    <col min="15685" max="15685" width="9" style="277" bestFit="1" customWidth="1"/>
    <col min="15686" max="15698" width="7.7109375" style="277" customWidth="1"/>
    <col min="15699" max="15872" width="8.85546875" style="277"/>
    <col min="15873" max="15873" width="38.42578125" style="277" customWidth="1"/>
    <col min="15874" max="15874" width="12.85546875" style="277" customWidth="1"/>
    <col min="15875" max="15930" width="7.7109375" style="277" customWidth="1"/>
    <col min="15931" max="15931" width="13" style="277" customWidth="1"/>
    <col min="15932" max="15932" width="8.42578125" style="277" customWidth="1"/>
    <col min="15933" max="15933" width="8.140625" style="277" customWidth="1"/>
    <col min="15934" max="15939" width="8.140625" style="277" bestFit="1" customWidth="1"/>
    <col min="15940" max="15940" width="7.42578125" style="277" bestFit="1" customWidth="1"/>
    <col min="15941" max="15941" width="9" style="277" bestFit="1" customWidth="1"/>
    <col min="15942" max="15954" width="7.7109375" style="277" customWidth="1"/>
    <col min="15955" max="16128" width="8.85546875" style="277"/>
    <col min="16129" max="16129" width="38.42578125" style="277" customWidth="1"/>
    <col min="16130" max="16130" width="12.85546875" style="277" customWidth="1"/>
    <col min="16131" max="16186" width="7.7109375" style="277" customWidth="1"/>
    <col min="16187" max="16187" width="13" style="277" customWidth="1"/>
    <col min="16188" max="16188" width="8.42578125" style="277" customWidth="1"/>
    <col min="16189" max="16189" width="8.140625" style="277" customWidth="1"/>
    <col min="16190" max="16195" width="8.140625" style="277" bestFit="1" customWidth="1"/>
    <col min="16196" max="16196" width="7.42578125" style="277" bestFit="1" customWidth="1"/>
    <col min="16197" max="16197" width="9" style="277" bestFit="1" customWidth="1"/>
    <col min="16198" max="16210" width="7.7109375" style="277" customWidth="1"/>
    <col min="16211" max="16384" width="8.85546875" style="277"/>
  </cols>
  <sheetData>
    <row r="1" spans="1:83" ht="17.45" x14ac:dyDescent="0.3">
      <c r="A1" s="275" t="s">
        <v>41</v>
      </c>
      <c r="B1" s="276"/>
    </row>
    <row r="2" spans="1:83" ht="15.6" x14ac:dyDescent="0.3">
      <c r="A2" s="278" t="s">
        <v>153</v>
      </c>
      <c r="B2" s="279"/>
    </row>
    <row r="3" spans="1:83" ht="14.45" thickBot="1" x14ac:dyDescent="0.3">
      <c r="A3" s="280" t="s">
        <v>42</v>
      </c>
      <c r="B3" s="281"/>
    </row>
    <row r="6" spans="1:83" ht="13.15" x14ac:dyDescent="0.25">
      <c r="BI6" s="86" t="s">
        <v>43</v>
      </c>
      <c r="BJ6" s="86" t="s">
        <v>43</v>
      </c>
      <c r="BK6" s="86" t="s">
        <v>43</v>
      </c>
      <c r="BL6" s="86" t="s">
        <v>43</v>
      </c>
      <c r="BM6" s="87" t="s">
        <v>44</v>
      </c>
      <c r="BN6" s="87" t="s">
        <v>44</v>
      </c>
      <c r="BO6" s="87" t="s">
        <v>44</v>
      </c>
      <c r="BP6" s="87" t="s">
        <v>44</v>
      </c>
      <c r="BQ6" s="88" t="s">
        <v>45</v>
      </c>
      <c r="BR6" s="88" t="s">
        <v>45</v>
      </c>
      <c r="BS6" s="88" t="s">
        <v>45</v>
      </c>
      <c r="BT6" s="88" t="s">
        <v>45</v>
      </c>
      <c r="BU6" s="283" t="s">
        <v>154</v>
      </c>
      <c r="BV6" s="283" t="s">
        <v>154</v>
      </c>
      <c r="BW6" s="283" t="s">
        <v>154</v>
      </c>
      <c r="BX6" s="283" t="s">
        <v>154</v>
      </c>
      <c r="BY6" s="284" t="s">
        <v>155</v>
      </c>
      <c r="BZ6" s="284" t="s">
        <v>155</v>
      </c>
      <c r="CA6" s="284" t="s">
        <v>155</v>
      </c>
      <c r="CB6" s="284" t="s">
        <v>155</v>
      </c>
    </row>
    <row r="7" spans="1:83" s="282" customFormat="1" ht="13.15" x14ac:dyDescent="0.25">
      <c r="B7" s="282" t="s">
        <v>46</v>
      </c>
      <c r="C7" s="285" t="s">
        <v>47</v>
      </c>
      <c r="D7" s="285" t="s">
        <v>48</v>
      </c>
      <c r="E7" s="285" t="s">
        <v>49</v>
      </c>
      <c r="F7" s="285" t="s">
        <v>50</v>
      </c>
      <c r="G7" s="285" t="s">
        <v>51</v>
      </c>
      <c r="H7" s="285" t="s">
        <v>52</v>
      </c>
      <c r="I7" s="285" t="s">
        <v>53</v>
      </c>
      <c r="J7" s="285" t="s">
        <v>54</v>
      </c>
      <c r="K7" s="285" t="s">
        <v>55</v>
      </c>
      <c r="L7" s="285" t="s">
        <v>56</v>
      </c>
      <c r="M7" s="285" t="s">
        <v>57</v>
      </c>
      <c r="N7" s="285" t="s">
        <v>58</v>
      </c>
      <c r="O7" s="285" t="s">
        <v>59</v>
      </c>
      <c r="P7" s="285" t="s">
        <v>60</v>
      </c>
      <c r="Q7" s="285" t="s">
        <v>61</v>
      </c>
      <c r="R7" s="285" t="s">
        <v>62</v>
      </c>
      <c r="S7" s="285" t="s">
        <v>63</v>
      </c>
      <c r="T7" s="285" t="s">
        <v>64</v>
      </c>
      <c r="U7" s="285" t="s">
        <v>65</v>
      </c>
      <c r="V7" s="285" t="s">
        <v>66</v>
      </c>
      <c r="W7" s="285" t="s">
        <v>67</v>
      </c>
      <c r="X7" s="285" t="s">
        <v>68</v>
      </c>
      <c r="Y7" s="285" t="s">
        <v>69</v>
      </c>
      <c r="Z7" s="285" t="s">
        <v>70</v>
      </c>
      <c r="AA7" s="285" t="s">
        <v>71</v>
      </c>
      <c r="AB7" s="285" t="s">
        <v>72</v>
      </c>
      <c r="AC7" s="285" t="s">
        <v>73</v>
      </c>
      <c r="AD7" s="285" t="s">
        <v>74</v>
      </c>
      <c r="AE7" s="285" t="s">
        <v>75</v>
      </c>
      <c r="AF7" s="285" t="s">
        <v>76</v>
      </c>
      <c r="AG7" s="285" t="s">
        <v>77</v>
      </c>
      <c r="AH7" s="285" t="s">
        <v>78</v>
      </c>
      <c r="AI7" s="285" t="s">
        <v>79</v>
      </c>
      <c r="AJ7" s="285" t="s">
        <v>80</v>
      </c>
      <c r="AK7" s="285" t="s">
        <v>81</v>
      </c>
      <c r="AL7" s="285" t="s">
        <v>82</v>
      </c>
      <c r="AM7" s="285" t="s">
        <v>83</v>
      </c>
      <c r="AN7" s="285" t="s">
        <v>84</v>
      </c>
      <c r="AO7" s="285" t="s">
        <v>85</v>
      </c>
      <c r="AP7" s="285" t="s">
        <v>86</v>
      </c>
      <c r="AQ7" s="285" t="s">
        <v>87</v>
      </c>
      <c r="AR7" s="285" t="s">
        <v>88</v>
      </c>
      <c r="AS7" s="285" t="s">
        <v>89</v>
      </c>
      <c r="AT7" s="285" t="s">
        <v>90</v>
      </c>
      <c r="AU7" s="282" t="s">
        <v>91</v>
      </c>
      <c r="AV7" s="282" t="s">
        <v>92</v>
      </c>
      <c r="AW7" s="282" t="s">
        <v>93</v>
      </c>
      <c r="AX7" s="282" t="s">
        <v>94</v>
      </c>
      <c r="AY7" s="282" t="s">
        <v>95</v>
      </c>
      <c r="AZ7" s="282" t="s">
        <v>96</v>
      </c>
      <c r="BA7" s="282" t="s">
        <v>97</v>
      </c>
      <c r="BB7" s="282" t="s">
        <v>98</v>
      </c>
      <c r="BC7" s="282" t="s">
        <v>99</v>
      </c>
      <c r="BD7" s="282" t="s">
        <v>100</v>
      </c>
      <c r="BE7" s="282" t="s">
        <v>101</v>
      </c>
      <c r="BF7" s="282" t="s">
        <v>102</v>
      </c>
      <c r="BG7" s="282" t="s">
        <v>103</v>
      </c>
      <c r="BH7" s="282" t="s">
        <v>104</v>
      </c>
      <c r="BI7" s="282" t="s">
        <v>105</v>
      </c>
      <c r="BJ7" s="282" t="s">
        <v>106</v>
      </c>
      <c r="BK7" s="282" t="s">
        <v>107</v>
      </c>
      <c r="BL7" s="282" t="s">
        <v>108</v>
      </c>
      <c r="BM7" s="282" t="s">
        <v>109</v>
      </c>
      <c r="BN7" s="282" t="s">
        <v>110</v>
      </c>
      <c r="BO7" s="282" t="s">
        <v>111</v>
      </c>
      <c r="BP7" s="282" t="s">
        <v>112</v>
      </c>
      <c r="BQ7" s="282" t="s">
        <v>113</v>
      </c>
      <c r="BR7" s="282" t="s">
        <v>114</v>
      </c>
      <c r="BS7" s="282" t="s">
        <v>115</v>
      </c>
      <c r="BT7" s="282" t="s">
        <v>116</v>
      </c>
      <c r="BU7" s="282" t="s">
        <v>117</v>
      </c>
      <c r="BV7" s="282" t="s">
        <v>118</v>
      </c>
      <c r="BW7" s="282" t="s">
        <v>156</v>
      </c>
      <c r="BX7" s="282" t="s">
        <v>157</v>
      </c>
      <c r="BY7" s="282" t="s">
        <v>158</v>
      </c>
      <c r="BZ7" s="282" t="s">
        <v>159</v>
      </c>
      <c r="CA7" s="282" t="s">
        <v>160</v>
      </c>
      <c r="CB7" s="282" t="s">
        <v>161</v>
      </c>
      <c r="CC7" s="282" t="s">
        <v>162</v>
      </c>
      <c r="CD7" s="282" t="s">
        <v>163</v>
      </c>
      <c r="CE7" s="282" t="s">
        <v>119</v>
      </c>
    </row>
    <row r="8" spans="1:83" ht="13.15" x14ac:dyDescent="0.25">
      <c r="A8" s="282" t="s">
        <v>120</v>
      </c>
      <c r="B8" s="282" t="s">
        <v>121</v>
      </c>
      <c r="C8" s="286">
        <v>2.0339999999999998</v>
      </c>
      <c r="D8" s="286">
        <v>2.0590000000000002</v>
      </c>
      <c r="E8" s="286">
        <v>2.0640000000000001</v>
      </c>
      <c r="F8" s="286">
        <v>2.0870000000000002</v>
      </c>
      <c r="G8" s="286">
        <v>2.1040000000000001</v>
      </c>
      <c r="H8" s="286">
        <v>2.1150000000000002</v>
      </c>
      <c r="I8" s="286">
        <v>2.15</v>
      </c>
      <c r="J8" s="286">
        <v>2.169</v>
      </c>
      <c r="K8" s="286">
        <v>2.1880000000000002</v>
      </c>
      <c r="L8" s="286">
        <v>2.2130000000000001</v>
      </c>
      <c r="M8" s="286">
        <v>2.234</v>
      </c>
      <c r="N8" s="286">
        <v>2.2200000000000002</v>
      </c>
      <c r="O8" s="286">
        <v>2.234</v>
      </c>
      <c r="P8" s="286">
        <v>2.2589999999999999</v>
      </c>
      <c r="Q8" s="286">
        <v>2.2749999999999999</v>
      </c>
      <c r="R8" s="286">
        <v>2.3010000000000002</v>
      </c>
      <c r="S8" s="286">
        <v>2.3220000000000001</v>
      </c>
      <c r="T8" s="286">
        <v>2.363</v>
      </c>
      <c r="U8" s="286">
        <v>2.4039999999999999</v>
      </c>
      <c r="V8" s="286">
        <v>2.35</v>
      </c>
      <c r="W8" s="286">
        <v>2.3420000000000001</v>
      </c>
      <c r="X8" s="286">
        <v>2.347</v>
      </c>
      <c r="Y8" s="286">
        <v>2.367</v>
      </c>
      <c r="Z8" s="286">
        <v>2.38</v>
      </c>
      <c r="AA8" s="286">
        <v>2.3809999999999998</v>
      </c>
      <c r="AB8" s="286">
        <v>2.3839999999999999</v>
      </c>
      <c r="AC8" s="286">
        <v>2.3980000000000001</v>
      </c>
      <c r="AD8" s="286">
        <v>2.42</v>
      </c>
      <c r="AE8" s="286">
        <v>2.4340000000000002</v>
      </c>
      <c r="AF8" s="286">
        <v>2.4769999999999999</v>
      </c>
      <c r="AG8" s="286">
        <v>2.488</v>
      </c>
      <c r="AH8" s="286">
        <v>2.4950000000000001</v>
      </c>
      <c r="AI8" s="286">
        <v>2.5150000000000001</v>
      </c>
      <c r="AJ8" s="286">
        <v>2.5190000000000001</v>
      </c>
      <c r="AK8" s="286">
        <v>2.5289999999999999</v>
      </c>
      <c r="AL8" s="286">
        <v>2.5470000000000002</v>
      </c>
      <c r="AM8" s="286">
        <v>2.5569999999999999</v>
      </c>
      <c r="AN8" s="286">
        <v>2.5539999999999998</v>
      </c>
      <c r="AO8" s="286">
        <v>2.573</v>
      </c>
      <c r="AP8" s="286">
        <v>2.5870000000000002</v>
      </c>
      <c r="AQ8" s="286">
        <v>2.5979999999999999</v>
      </c>
      <c r="AR8" s="286">
        <v>2.6080000000000001</v>
      </c>
      <c r="AS8" s="286">
        <v>2.6139999999999999</v>
      </c>
      <c r="AT8" s="286">
        <v>2.6139999999999999</v>
      </c>
      <c r="AU8" s="277">
        <v>2.613</v>
      </c>
      <c r="AV8" s="277">
        <v>2.6230000000000002</v>
      </c>
      <c r="AW8" s="277">
        <v>2.6190000000000002</v>
      </c>
      <c r="AX8" s="277">
        <v>2.6240000000000001</v>
      </c>
      <c r="AY8" s="277">
        <v>2.6240000000000001</v>
      </c>
      <c r="AZ8" s="277">
        <v>2.6429999999999998</v>
      </c>
      <c r="BA8" s="277">
        <v>2.6640000000000001</v>
      </c>
      <c r="BB8" s="277">
        <v>2.6739999999999999</v>
      </c>
      <c r="BC8" s="277">
        <v>2.6949999999999998</v>
      </c>
      <c r="BD8" s="277">
        <v>2.694</v>
      </c>
      <c r="BE8" s="277">
        <v>2.706</v>
      </c>
      <c r="BF8" s="277">
        <v>2.714</v>
      </c>
      <c r="BG8" s="277">
        <v>2.746</v>
      </c>
      <c r="BH8" s="277">
        <v>2.7650000000000001</v>
      </c>
      <c r="BI8" s="277">
        <v>2.78</v>
      </c>
      <c r="BJ8" s="277">
        <v>2.8050000000000002</v>
      </c>
      <c r="BK8" s="277">
        <v>2.8250000000000002</v>
      </c>
      <c r="BL8" s="277">
        <v>2.8380000000000001</v>
      </c>
      <c r="BM8" s="277">
        <v>2.8479999999999999</v>
      </c>
      <c r="BN8" s="277">
        <v>2.8690000000000002</v>
      </c>
      <c r="BO8" s="277">
        <v>2.895</v>
      </c>
      <c r="BP8" s="277">
        <v>2.91</v>
      </c>
      <c r="BQ8" s="277">
        <v>2.9239999999999999</v>
      </c>
      <c r="BR8" s="277">
        <v>2.94</v>
      </c>
      <c r="BS8" s="277">
        <v>2.96</v>
      </c>
      <c r="BT8" s="277">
        <v>2.9790000000000001</v>
      </c>
      <c r="BU8" s="277">
        <v>2.9990000000000001</v>
      </c>
      <c r="BV8" s="277">
        <v>3.0169999999999999</v>
      </c>
      <c r="BW8" s="277">
        <v>3.0339999999999998</v>
      </c>
      <c r="BX8" s="277">
        <v>3.0510000000000002</v>
      </c>
      <c r="BY8" s="277">
        <v>3.07</v>
      </c>
      <c r="BZ8" s="277">
        <v>3.0880000000000001</v>
      </c>
      <c r="CA8" s="277">
        <v>3.1059999999999999</v>
      </c>
      <c r="CB8" s="277">
        <v>3.1219999999999999</v>
      </c>
      <c r="CC8" s="277">
        <v>3.14</v>
      </c>
      <c r="CD8" s="277">
        <v>3.1579999999999999</v>
      </c>
    </row>
    <row r="9" spans="1:83" ht="13.15" x14ac:dyDescent="0.25">
      <c r="A9" s="282" t="s">
        <v>122</v>
      </c>
      <c r="B9" s="282" t="s">
        <v>123</v>
      </c>
      <c r="C9" s="286">
        <v>2.0339999999999998</v>
      </c>
      <c r="D9" s="286">
        <v>2.0590000000000002</v>
      </c>
      <c r="E9" s="286">
        <v>2.0640000000000001</v>
      </c>
      <c r="F9" s="286">
        <v>2.0870000000000002</v>
      </c>
      <c r="G9" s="286">
        <v>2.1040000000000001</v>
      </c>
      <c r="H9" s="286">
        <v>2.1150000000000002</v>
      </c>
      <c r="I9" s="286">
        <v>2.15</v>
      </c>
      <c r="J9" s="286">
        <v>2.169</v>
      </c>
      <c r="K9" s="286">
        <v>2.1880000000000002</v>
      </c>
      <c r="L9" s="286">
        <v>2.2130000000000001</v>
      </c>
      <c r="M9" s="286">
        <v>2.234</v>
      </c>
      <c r="N9" s="286">
        <v>2.2200000000000002</v>
      </c>
      <c r="O9" s="286">
        <v>2.234</v>
      </c>
      <c r="P9" s="286">
        <v>2.2589999999999999</v>
      </c>
      <c r="Q9" s="286">
        <v>2.2749999999999999</v>
      </c>
      <c r="R9" s="286">
        <v>2.3010000000000002</v>
      </c>
      <c r="S9" s="286">
        <v>2.3220000000000001</v>
      </c>
      <c r="T9" s="286">
        <v>2.363</v>
      </c>
      <c r="U9" s="286">
        <v>2.4039999999999999</v>
      </c>
      <c r="V9" s="286">
        <v>2.35</v>
      </c>
      <c r="W9" s="286">
        <v>2.3420000000000001</v>
      </c>
      <c r="X9" s="286">
        <v>2.347</v>
      </c>
      <c r="Y9" s="286">
        <v>2.367</v>
      </c>
      <c r="Z9" s="286">
        <v>2.38</v>
      </c>
      <c r="AA9" s="286">
        <v>2.3809999999999998</v>
      </c>
      <c r="AB9" s="286">
        <v>2.3839999999999999</v>
      </c>
      <c r="AC9" s="286">
        <v>2.3980000000000001</v>
      </c>
      <c r="AD9" s="286">
        <v>2.42</v>
      </c>
      <c r="AE9" s="286">
        <v>2.4340000000000002</v>
      </c>
      <c r="AF9" s="286">
        <v>2.4769999999999999</v>
      </c>
      <c r="AG9" s="286">
        <v>2.488</v>
      </c>
      <c r="AH9" s="286">
        <v>2.4950000000000001</v>
      </c>
      <c r="AI9" s="286">
        <v>2.5150000000000001</v>
      </c>
      <c r="AJ9" s="286">
        <v>2.5190000000000001</v>
      </c>
      <c r="AK9" s="286">
        <v>2.5289999999999999</v>
      </c>
      <c r="AL9" s="286">
        <v>2.5470000000000002</v>
      </c>
      <c r="AM9" s="286">
        <v>2.5569999999999999</v>
      </c>
      <c r="AN9" s="286">
        <v>2.5539999999999998</v>
      </c>
      <c r="AO9" s="286">
        <v>2.573</v>
      </c>
      <c r="AP9" s="286">
        <v>2.5870000000000002</v>
      </c>
      <c r="AQ9" s="286">
        <v>2.5979999999999999</v>
      </c>
      <c r="AR9" s="286">
        <v>2.6080000000000001</v>
      </c>
      <c r="AS9" s="286">
        <v>2.6139999999999999</v>
      </c>
      <c r="AT9" s="286">
        <v>2.6139999999999999</v>
      </c>
      <c r="AU9" s="277">
        <v>2.613</v>
      </c>
      <c r="AV9" s="277">
        <v>2.6230000000000002</v>
      </c>
      <c r="AW9" s="277">
        <v>2.6190000000000002</v>
      </c>
      <c r="AX9" s="277">
        <v>2.6240000000000001</v>
      </c>
      <c r="AY9" s="277">
        <v>2.6240000000000001</v>
      </c>
      <c r="AZ9" s="277">
        <v>2.6429999999999998</v>
      </c>
      <c r="BA9" s="277">
        <v>2.6640000000000001</v>
      </c>
      <c r="BB9" s="277">
        <v>2.6739999999999999</v>
      </c>
      <c r="BC9" s="277">
        <v>2.6949999999999998</v>
      </c>
      <c r="BD9" s="277">
        <v>2.694</v>
      </c>
      <c r="BE9" s="277">
        <v>2.706</v>
      </c>
      <c r="BF9" s="277">
        <v>2.714</v>
      </c>
      <c r="BG9" s="277">
        <v>2.746</v>
      </c>
      <c r="BH9" s="277">
        <v>2.7650000000000001</v>
      </c>
      <c r="BI9" s="277">
        <v>2.78</v>
      </c>
      <c r="BJ9" s="277">
        <v>2.8010000000000002</v>
      </c>
      <c r="BK9" s="277">
        <v>2.8170000000000002</v>
      </c>
      <c r="BL9" s="277">
        <v>2.8260000000000001</v>
      </c>
      <c r="BM9" s="277">
        <v>2.8330000000000002</v>
      </c>
      <c r="BN9" s="277">
        <v>2.8519999999999999</v>
      </c>
      <c r="BO9" s="277">
        <v>2.8759999999999999</v>
      </c>
      <c r="BP9" s="277">
        <v>2.8879999999999999</v>
      </c>
      <c r="BQ9" s="277">
        <v>2.9</v>
      </c>
      <c r="BR9" s="277">
        <v>2.9129999999999998</v>
      </c>
      <c r="BS9" s="277">
        <v>2.931</v>
      </c>
      <c r="BT9" s="277">
        <v>2.9470000000000001</v>
      </c>
      <c r="BU9" s="277">
        <v>2.9630000000000001</v>
      </c>
      <c r="BV9" s="277">
        <v>2.9769999999999999</v>
      </c>
      <c r="BW9" s="277">
        <v>2.99</v>
      </c>
      <c r="BX9" s="277">
        <v>3.004</v>
      </c>
      <c r="BY9" s="277">
        <v>3.0190000000000001</v>
      </c>
      <c r="BZ9" s="277">
        <v>3.0339999999999998</v>
      </c>
      <c r="CA9" s="277">
        <v>3.0489999999999999</v>
      </c>
      <c r="CB9" s="277">
        <v>3.0619999999999998</v>
      </c>
      <c r="CC9" s="277">
        <v>3.0790000000000002</v>
      </c>
      <c r="CD9" s="277">
        <v>3.0950000000000002</v>
      </c>
    </row>
    <row r="10" spans="1:83" ht="13.15" x14ac:dyDescent="0.25">
      <c r="A10" s="282" t="s">
        <v>124</v>
      </c>
      <c r="B10" s="282" t="s">
        <v>125</v>
      </c>
      <c r="C10" s="286">
        <v>2.0339999999999998</v>
      </c>
      <c r="D10" s="286">
        <v>2.0590000000000002</v>
      </c>
      <c r="E10" s="286">
        <v>2.0640000000000001</v>
      </c>
      <c r="F10" s="286">
        <v>2.0870000000000002</v>
      </c>
      <c r="G10" s="286">
        <v>2.1040000000000001</v>
      </c>
      <c r="H10" s="286">
        <v>2.1150000000000002</v>
      </c>
      <c r="I10" s="286">
        <v>2.15</v>
      </c>
      <c r="J10" s="286">
        <v>2.169</v>
      </c>
      <c r="K10" s="286">
        <v>2.1880000000000002</v>
      </c>
      <c r="L10" s="286">
        <v>2.2130000000000001</v>
      </c>
      <c r="M10" s="286">
        <v>2.234</v>
      </c>
      <c r="N10" s="286">
        <v>2.2200000000000002</v>
      </c>
      <c r="O10" s="286">
        <v>2.234</v>
      </c>
      <c r="P10" s="286">
        <v>2.2589999999999999</v>
      </c>
      <c r="Q10" s="286">
        <v>2.2749999999999999</v>
      </c>
      <c r="R10" s="286">
        <v>2.3010000000000002</v>
      </c>
      <c r="S10" s="286">
        <v>2.3220000000000001</v>
      </c>
      <c r="T10" s="286">
        <v>2.363</v>
      </c>
      <c r="U10" s="286">
        <v>2.4039999999999999</v>
      </c>
      <c r="V10" s="286">
        <v>2.35</v>
      </c>
      <c r="W10" s="286">
        <v>2.3420000000000001</v>
      </c>
      <c r="X10" s="286">
        <v>2.347</v>
      </c>
      <c r="Y10" s="286">
        <v>2.367</v>
      </c>
      <c r="Z10" s="286">
        <v>2.38</v>
      </c>
      <c r="AA10" s="286">
        <v>2.3809999999999998</v>
      </c>
      <c r="AB10" s="286">
        <v>2.3839999999999999</v>
      </c>
      <c r="AC10" s="286">
        <v>2.3980000000000001</v>
      </c>
      <c r="AD10" s="286">
        <v>2.42</v>
      </c>
      <c r="AE10" s="286">
        <v>2.4340000000000002</v>
      </c>
      <c r="AF10" s="286">
        <v>2.4769999999999999</v>
      </c>
      <c r="AG10" s="286">
        <v>2.488</v>
      </c>
      <c r="AH10" s="286">
        <v>2.4950000000000001</v>
      </c>
      <c r="AI10" s="286">
        <v>2.5150000000000001</v>
      </c>
      <c r="AJ10" s="286">
        <v>2.5190000000000001</v>
      </c>
      <c r="AK10" s="286">
        <v>2.5289999999999999</v>
      </c>
      <c r="AL10" s="286">
        <v>2.5470000000000002</v>
      </c>
      <c r="AM10" s="286">
        <v>2.5569999999999999</v>
      </c>
      <c r="AN10" s="286">
        <v>2.5539999999999998</v>
      </c>
      <c r="AO10" s="286">
        <v>2.573</v>
      </c>
      <c r="AP10" s="286">
        <v>2.5870000000000002</v>
      </c>
      <c r="AQ10" s="286">
        <v>2.5979999999999999</v>
      </c>
      <c r="AR10" s="286">
        <v>2.6080000000000001</v>
      </c>
      <c r="AS10" s="286">
        <v>2.6139999999999999</v>
      </c>
      <c r="AT10" s="286">
        <v>2.6139999999999999</v>
      </c>
      <c r="AU10" s="277">
        <v>2.613</v>
      </c>
      <c r="AV10" s="277">
        <v>2.6230000000000002</v>
      </c>
      <c r="AW10" s="277">
        <v>2.6190000000000002</v>
      </c>
      <c r="AX10" s="277">
        <v>2.6240000000000001</v>
      </c>
      <c r="AY10" s="277">
        <v>2.6240000000000001</v>
      </c>
      <c r="AZ10" s="277">
        <v>2.6429999999999998</v>
      </c>
      <c r="BA10" s="277">
        <v>2.6640000000000001</v>
      </c>
      <c r="BB10" s="277">
        <v>2.6739999999999999</v>
      </c>
      <c r="BC10" s="277">
        <v>2.6949999999999998</v>
      </c>
      <c r="BD10" s="277">
        <v>2.694</v>
      </c>
      <c r="BE10" s="277">
        <v>2.706</v>
      </c>
      <c r="BF10" s="277">
        <v>2.714</v>
      </c>
      <c r="BG10" s="277">
        <v>2.746</v>
      </c>
      <c r="BH10" s="277">
        <v>2.7650000000000001</v>
      </c>
      <c r="BI10" s="277">
        <v>2.78</v>
      </c>
      <c r="BJ10" s="277">
        <v>2.806</v>
      </c>
      <c r="BK10" s="277">
        <v>2.827</v>
      </c>
      <c r="BL10" s="277">
        <v>2.8420000000000001</v>
      </c>
      <c r="BM10" s="277">
        <v>2.855</v>
      </c>
      <c r="BN10" s="277">
        <v>2.88</v>
      </c>
      <c r="BO10" s="277">
        <v>2.911</v>
      </c>
      <c r="BP10" s="277">
        <v>2.931</v>
      </c>
      <c r="BQ10" s="277">
        <v>2.95</v>
      </c>
      <c r="BR10" s="277">
        <v>2.972</v>
      </c>
      <c r="BS10" s="277">
        <v>2.9980000000000002</v>
      </c>
      <c r="BT10" s="277">
        <v>3.0230000000000001</v>
      </c>
      <c r="BU10" s="277">
        <v>3.0489999999999999</v>
      </c>
      <c r="BV10" s="277">
        <v>3.073</v>
      </c>
      <c r="BW10" s="277">
        <v>3.0979999999999999</v>
      </c>
      <c r="BX10" s="277">
        <v>3.1219999999999999</v>
      </c>
      <c r="BY10" s="277">
        <v>3.149</v>
      </c>
      <c r="BZ10" s="277">
        <v>3.1749999999999998</v>
      </c>
      <c r="CA10" s="277">
        <v>3.2010000000000001</v>
      </c>
      <c r="CB10" s="277">
        <v>3.2250000000000001</v>
      </c>
      <c r="CC10" s="277">
        <v>3.2519999999999998</v>
      </c>
      <c r="CD10" s="277">
        <v>3.278</v>
      </c>
    </row>
    <row r="13" spans="1:83" ht="13.15" x14ac:dyDescent="0.25">
      <c r="BF13" s="90" t="s">
        <v>126</v>
      </c>
      <c r="BG13" s="91"/>
      <c r="BH13" s="91"/>
      <c r="BI13" s="92" t="s">
        <v>167</v>
      </c>
      <c r="BJ13" s="93"/>
      <c r="BK13" s="93"/>
      <c r="BL13" s="93"/>
      <c r="BM13" s="93"/>
      <c r="BN13" s="93"/>
      <c r="BO13" s="91"/>
      <c r="BP13" s="91"/>
      <c r="BQ13" s="91"/>
    </row>
    <row r="14" spans="1:83" ht="13.15" x14ac:dyDescent="0.25">
      <c r="BF14" s="94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6"/>
    </row>
    <row r="15" spans="1:83" ht="13.15" x14ac:dyDescent="0.25">
      <c r="BF15" s="97"/>
      <c r="BG15" s="98" t="s">
        <v>127</v>
      </c>
      <c r="BH15" s="99" t="s">
        <v>130</v>
      </c>
      <c r="BI15" s="99"/>
      <c r="BJ15" s="99"/>
      <c r="BK15" s="99"/>
      <c r="BL15" s="99"/>
      <c r="BM15" s="99"/>
      <c r="BN15" s="99"/>
      <c r="BO15" s="99"/>
      <c r="BP15" s="99"/>
      <c r="BQ15" s="100"/>
    </row>
    <row r="16" spans="1:83" ht="13.15" x14ac:dyDescent="0.25">
      <c r="BF16" s="97"/>
      <c r="BG16" s="99"/>
      <c r="BH16" s="89" t="s">
        <v>107</v>
      </c>
      <c r="BI16" s="99"/>
      <c r="BJ16" s="99"/>
      <c r="BK16" s="99"/>
      <c r="BL16" s="99"/>
      <c r="BM16" s="99"/>
      <c r="BN16" s="99"/>
      <c r="BO16" s="99"/>
      <c r="BP16" s="99"/>
      <c r="BQ16" s="101" t="s">
        <v>128</v>
      </c>
    </row>
    <row r="17" spans="58:69" ht="13.15" x14ac:dyDescent="0.25">
      <c r="BF17" s="97"/>
      <c r="BG17" s="99"/>
      <c r="BH17" s="287">
        <f>BK9</f>
        <v>2.8170000000000002</v>
      </c>
      <c r="BI17" s="99"/>
      <c r="BJ17" s="99"/>
      <c r="BK17" s="99"/>
      <c r="BL17" s="99"/>
      <c r="BM17" s="99"/>
      <c r="BN17" s="99"/>
      <c r="BO17" s="99"/>
      <c r="BP17" s="99"/>
      <c r="BQ17" s="102">
        <f>BH17</f>
        <v>2.8170000000000002</v>
      </c>
    </row>
    <row r="18" spans="58:69" ht="13.15" x14ac:dyDescent="0.25">
      <c r="BF18" s="97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103"/>
    </row>
    <row r="19" spans="58:69" ht="13.15" x14ac:dyDescent="0.25">
      <c r="BF19" s="97"/>
      <c r="BG19" s="98" t="s">
        <v>129</v>
      </c>
      <c r="BH19" s="99" t="s">
        <v>166</v>
      </c>
      <c r="BI19" s="99"/>
      <c r="BJ19" s="99"/>
      <c r="BK19" s="99"/>
      <c r="BL19" s="99"/>
      <c r="BM19" s="99"/>
      <c r="BN19" s="99"/>
      <c r="BO19" s="99"/>
      <c r="BP19" s="99"/>
      <c r="BQ19" s="103"/>
    </row>
    <row r="20" spans="58:69" ht="13.15" x14ac:dyDescent="0.25">
      <c r="BF20" s="97"/>
      <c r="BG20" s="99"/>
      <c r="BH20" s="288" t="str">
        <f>BL7</f>
        <v>2019Q2</v>
      </c>
      <c r="BI20" s="285"/>
      <c r="BJ20" s="285"/>
      <c r="BK20" s="285"/>
      <c r="BL20" s="285"/>
      <c r="BM20" s="285"/>
      <c r="BN20" s="285"/>
      <c r="BO20" s="285"/>
      <c r="BP20" s="99"/>
      <c r="BQ20" s="103"/>
    </row>
    <row r="21" spans="58:69" ht="13.15" x14ac:dyDescent="0.25">
      <c r="BF21" s="97"/>
      <c r="BG21" s="99"/>
      <c r="BH21" s="286">
        <f>BL9</f>
        <v>2.8260000000000001</v>
      </c>
      <c r="BI21" s="286"/>
      <c r="BJ21" s="286"/>
      <c r="BK21" s="286"/>
      <c r="BL21" s="286"/>
      <c r="BM21" s="286"/>
      <c r="BN21" s="286"/>
      <c r="BO21" s="286"/>
      <c r="BP21" s="99"/>
      <c r="BQ21" s="102">
        <f>AVERAGE(BH21:BO21)</f>
        <v>2.8260000000000001</v>
      </c>
    </row>
    <row r="22" spans="58:69" ht="13.15" x14ac:dyDescent="0.25">
      <c r="BF22" s="97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103"/>
    </row>
    <row r="23" spans="58:69" ht="13.15" x14ac:dyDescent="0.25">
      <c r="BF23" s="97"/>
      <c r="BG23" s="99"/>
      <c r="BH23" s="99"/>
      <c r="BI23" s="99"/>
      <c r="BJ23" s="99"/>
      <c r="BK23" s="99"/>
      <c r="BL23" s="99"/>
      <c r="BM23" s="99"/>
      <c r="BN23" s="99"/>
      <c r="BO23" s="99"/>
      <c r="BP23" s="104" t="s">
        <v>29</v>
      </c>
      <c r="BQ23" s="105">
        <f>(BQ21-BQ17)/BQ17</f>
        <v>3.1948881789137015E-3</v>
      </c>
    </row>
    <row r="24" spans="58:69" ht="13.15" x14ac:dyDescent="0.25">
      <c r="BF24" s="106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8"/>
    </row>
    <row r="28" spans="58:69" ht="13.15" x14ac:dyDescent="0.25">
      <c r="BF28" s="282"/>
    </row>
    <row r="29" spans="58:69" ht="13.15" x14ac:dyDescent="0.25">
      <c r="BF29" s="90" t="s">
        <v>126</v>
      </c>
      <c r="BG29" s="91"/>
      <c r="BH29" s="91"/>
      <c r="BI29" s="92" t="s">
        <v>164</v>
      </c>
      <c r="BJ29" s="93"/>
      <c r="BK29" s="93"/>
      <c r="BL29" s="93"/>
      <c r="BM29" s="93"/>
      <c r="BN29" s="93"/>
      <c r="BO29" s="91"/>
      <c r="BP29" s="91"/>
      <c r="BQ29" s="91"/>
    </row>
    <row r="30" spans="58:69" ht="13.15" x14ac:dyDescent="0.25">
      <c r="BF30" s="94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6"/>
    </row>
    <row r="31" spans="58:69" ht="13.15" x14ac:dyDescent="0.25">
      <c r="BF31" s="97"/>
      <c r="BG31" s="98" t="s">
        <v>127</v>
      </c>
      <c r="BH31" s="99" t="s">
        <v>144</v>
      </c>
      <c r="BI31" s="99"/>
      <c r="BJ31" s="99"/>
      <c r="BK31" s="99"/>
      <c r="BL31" s="99"/>
      <c r="BM31" s="99"/>
      <c r="BN31" s="99"/>
      <c r="BO31" s="99"/>
      <c r="BP31" s="99"/>
      <c r="BQ31" s="100"/>
    </row>
    <row r="32" spans="58:69" ht="13.15" x14ac:dyDescent="0.25">
      <c r="BF32" s="97"/>
      <c r="BG32" s="99"/>
      <c r="BH32" s="89" t="s">
        <v>108</v>
      </c>
      <c r="BI32" s="99"/>
      <c r="BJ32" s="99"/>
      <c r="BK32" s="99"/>
      <c r="BL32" s="99"/>
      <c r="BM32" s="99"/>
      <c r="BN32" s="99"/>
      <c r="BO32" s="99"/>
      <c r="BP32" s="99"/>
      <c r="BQ32" s="101" t="s">
        <v>128</v>
      </c>
    </row>
    <row r="33" spans="58:69" ht="13.15" x14ac:dyDescent="0.25">
      <c r="BF33" s="97"/>
      <c r="BG33" s="99"/>
      <c r="BH33" s="287">
        <f>BL9</f>
        <v>2.8260000000000001</v>
      </c>
      <c r="BI33" s="99"/>
      <c r="BJ33" s="99"/>
      <c r="BK33" s="99"/>
      <c r="BL33" s="99"/>
      <c r="BM33" s="99"/>
      <c r="BN33" s="99"/>
      <c r="BO33" s="99"/>
      <c r="BP33" s="99"/>
      <c r="BQ33" s="102">
        <f>BH33</f>
        <v>2.8260000000000001</v>
      </c>
    </row>
    <row r="34" spans="58:69" ht="13.15" x14ac:dyDescent="0.25">
      <c r="BF34" s="97"/>
      <c r="BG34" s="99"/>
      <c r="BH34" s="99"/>
      <c r="BI34" s="99"/>
      <c r="BJ34" s="99"/>
      <c r="BK34" s="99"/>
      <c r="BL34" s="99"/>
      <c r="BM34" s="99"/>
      <c r="BN34" s="99"/>
      <c r="BO34" s="99"/>
      <c r="BP34" s="99"/>
      <c r="BQ34" s="103"/>
    </row>
    <row r="35" spans="58:69" ht="13.15" x14ac:dyDescent="0.25">
      <c r="BF35" s="97"/>
      <c r="BG35" s="98" t="s">
        <v>129</v>
      </c>
      <c r="BH35" s="99" t="s">
        <v>165</v>
      </c>
      <c r="BI35" s="99"/>
      <c r="BJ35" s="99"/>
      <c r="BK35" s="99"/>
      <c r="BL35" s="99"/>
      <c r="BM35" s="99"/>
      <c r="BN35" s="99"/>
      <c r="BO35" s="99"/>
      <c r="BP35" s="99"/>
      <c r="BQ35" s="103"/>
    </row>
    <row r="36" spans="58:69" ht="13.15" x14ac:dyDescent="0.25">
      <c r="BF36" s="97"/>
      <c r="BG36" s="99"/>
      <c r="BH36" s="288" t="str">
        <f>BM7</f>
        <v>2019Q3</v>
      </c>
      <c r="BI36" s="288" t="str">
        <f t="shared" ref="BI36:BO36" si="0">BN7</f>
        <v>2019Q4</v>
      </c>
      <c r="BJ36" s="288" t="str">
        <f t="shared" si="0"/>
        <v>2020Q1</v>
      </c>
      <c r="BK36" s="288" t="str">
        <f t="shared" si="0"/>
        <v>2020Q2</v>
      </c>
      <c r="BL36" s="288" t="str">
        <f t="shared" si="0"/>
        <v>2020Q3</v>
      </c>
      <c r="BM36" s="288" t="str">
        <f t="shared" si="0"/>
        <v>2020Q4</v>
      </c>
      <c r="BN36" s="288" t="str">
        <f t="shared" si="0"/>
        <v>2021Q1</v>
      </c>
      <c r="BO36" s="288" t="str">
        <f t="shared" si="0"/>
        <v>2021Q2</v>
      </c>
      <c r="BP36" s="99"/>
      <c r="BQ36" s="103"/>
    </row>
    <row r="37" spans="58:69" ht="13.15" x14ac:dyDescent="0.25">
      <c r="BF37" s="97"/>
      <c r="BG37" s="99"/>
      <c r="BH37" s="286">
        <f>BM9</f>
        <v>2.8330000000000002</v>
      </c>
      <c r="BI37" s="286">
        <f t="shared" ref="BI37:BO37" si="1">BN9</f>
        <v>2.8519999999999999</v>
      </c>
      <c r="BJ37" s="286">
        <f t="shared" si="1"/>
        <v>2.8759999999999999</v>
      </c>
      <c r="BK37" s="286">
        <f t="shared" si="1"/>
        <v>2.8879999999999999</v>
      </c>
      <c r="BL37" s="286">
        <f t="shared" si="1"/>
        <v>2.9</v>
      </c>
      <c r="BM37" s="286">
        <f t="shared" si="1"/>
        <v>2.9129999999999998</v>
      </c>
      <c r="BN37" s="286">
        <f t="shared" si="1"/>
        <v>2.931</v>
      </c>
      <c r="BO37" s="286">
        <f t="shared" si="1"/>
        <v>2.9470000000000001</v>
      </c>
      <c r="BP37" s="99"/>
      <c r="BQ37" s="102">
        <f>AVERAGE(BH37:BO37)</f>
        <v>2.8925000000000001</v>
      </c>
    </row>
    <row r="38" spans="58:69" ht="13.15" x14ac:dyDescent="0.25">
      <c r="BF38" s="97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103"/>
    </row>
    <row r="39" spans="58:69" ht="13.15" x14ac:dyDescent="0.25">
      <c r="BF39" s="97"/>
      <c r="BG39" s="99"/>
      <c r="BH39" s="99"/>
      <c r="BI39" s="99"/>
      <c r="BJ39" s="99"/>
      <c r="BK39" s="99"/>
      <c r="BL39" s="99"/>
      <c r="BM39" s="99"/>
      <c r="BN39" s="99"/>
      <c r="BO39" s="99"/>
      <c r="BP39" s="104" t="s">
        <v>29</v>
      </c>
      <c r="BQ39" s="105">
        <f>(BQ37-BQ33)/BQ33</f>
        <v>2.3531493276716206E-2</v>
      </c>
    </row>
    <row r="40" spans="58:69" ht="13.15" x14ac:dyDescent="0.25">
      <c r="BF40" s="106"/>
      <c r="BG40" s="107"/>
      <c r="BH40" s="107"/>
      <c r="BI40" s="107"/>
      <c r="BJ40" s="107"/>
      <c r="BK40" s="107"/>
      <c r="BL40" s="107"/>
      <c r="BM40" s="107"/>
      <c r="BN40" s="107"/>
      <c r="BO40" s="107"/>
      <c r="BP40" s="107"/>
      <c r="BQ40" s="108"/>
    </row>
  </sheetData>
  <pageMargins left="0.25" right="0.25" top="1" bottom="1" header="0.5" footer="0.5"/>
  <pageSetup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Models </vt:lpstr>
      <vt:lpstr>Per Diem Rates </vt:lpstr>
      <vt:lpstr>Fall 2018</vt:lpstr>
      <vt:lpstr>'Fall 2018'!Print_Area</vt:lpstr>
      <vt:lpstr>'Models '!Print_Area</vt:lpstr>
      <vt:lpstr>'Per Diem Rates '!Print_Area</vt:lpstr>
      <vt:lpstr>'Fall 2018'!Print_Titles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2019-01-03T13:27:14Z</cp:lastPrinted>
  <dcterms:created xsi:type="dcterms:W3CDTF">2018-07-10T11:22:30Z</dcterms:created>
  <dcterms:modified xsi:type="dcterms:W3CDTF">2019-01-03T14:38:07Z</dcterms:modified>
</cp:coreProperties>
</file>