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25" windowWidth="23250" windowHeight="4125"/>
  </bookViews>
  <sheets>
    <sheet name="CAF Fall 2018" sheetId="18" r:id="rId1"/>
    <sheet name="Models" sheetId="17" r:id="rId2"/>
    <sheet name=" DC Add-On" sheetId="11" r:id="rId3"/>
    <sheet name=" Travel" sheetId="16" r:id="rId4"/>
    <sheet name=" Rates Chart" sheetId="13" r:id="rId5"/>
    <sheet name="CAF Spring 2018" sheetId="4" state="hidden" r:id="rId6"/>
  </sheets>
  <externalReferences>
    <externalReference r:id="rId7"/>
  </externalReferences>
  <definedNames>
    <definedName name="_xlnm.Print_Area" localSheetId="4">' Rates Chart'!$B$1:$G$29</definedName>
    <definedName name="_xlnm.Print_Area" localSheetId="3">' Travel'!$A$1:$I$17</definedName>
    <definedName name="_xlnm.Print_Area" localSheetId="5">'CAF Spring 2018'!$BF$14:$BQ$26</definedName>
    <definedName name="_xlnm.Print_Area" localSheetId="1">Models!$G$58:$K$84</definedName>
    <definedName name="_xlnm.Print_Titles" localSheetId="0">'CAF Fall 2018'!$A:$A</definedName>
    <definedName name="_xlnm.Print_Titles" localSheetId="5">'CAF Spring 2018'!$A:$A</definedName>
    <definedName name="Z_A42CE51E_C72B_4FD9_AA64_95248D004B9E_.wvu.PrintTitles" localSheetId="5" hidden="1">'CAF Spring 2018'!$A:$A</definedName>
    <definedName name="Z_BCB9E820_7328_4532_A1BD_CFDDBE1D8A3F_.wvu.PrintTitles" localSheetId="5" hidden="1">'CAF Spring 2018'!$A:$A</definedName>
  </definedNames>
  <calcPr calcId="145621"/>
</workbook>
</file>

<file path=xl/calcChain.xml><?xml version="1.0" encoding="utf-8"?>
<calcChain xmlns="http://schemas.openxmlformats.org/spreadsheetml/2006/main">
  <c r="G28" i="13" l="1"/>
  <c r="F5" i="11"/>
  <c r="K29" i="17"/>
  <c r="B19" i="17"/>
  <c r="BO24" i="18"/>
  <c r="BN24" i="18"/>
  <c r="BM24" i="18"/>
  <c r="BL24" i="18"/>
  <c r="BK24" i="18"/>
  <c r="BJ24" i="18"/>
  <c r="BI24" i="18"/>
  <c r="BH24" i="18"/>
  <c r="BQ24" i="18" s="1"/>
  <c r="BQ26" i="18" s="1"/>
  <c r="BO23" i="18"/>
  <c r="BN23" i="18"/>
  <c r="BM23" i="18"/>
  <c r="BL23" i="18"/>
  <c r="BK23" i="18"/>
  <c r="BJ23" i="18"/>
  <c r="BI23" i="18"/>
  <c r="BH23" i="18"/>
  <c r="BH20" i="18"/>
  <c r="BQ20" i="18" s="1"/>
  <c r="C13" i="11" l="1"/>
  <c r="C7" i="11"/>
  <c r="I45" i="17" l="1"/>
  <c r="K45" i="17" s="1"/>
  <c r="I25" i="17"/>
  <c r="I52" i="17" s="1"/>
  <c r="I80" i="17" s="1"/>
  <c r="I91" i="17"/>
  <c r="K70" i="17"/>
  <c r="J65" i="17"/>
  <c r="I64" i="17"/>
  <c r="K64" i="17" s="1"/>
  <c r="I62" i="17"/>
  <c r="K62" i="17" s="1"/>
  <c r="I61" i="17"/>
  <c r="K61" i="17" s="1"/>
  <c r="G61" i="17"/>
  <c r="K59" i="17"/>
  <c r="I53" i="17"/>
  <c r="I81" i="17" s="1"/>
  <c r="H5" i="11" s="1"/>
  <c r="I74" i="17"/>
  <c r="K74" i="17" s="1"/>
  <c r="J37" i="17"/>
  <c r="I36" i="17"/>
  <c r="K36" i="17" s="1"/>
  <c r="I35" i="17"/>
  <c r="K35" i="17" s="1"/>
  <c r="I34" i="17"/>
  <c r="K34" i="17" s="1"/>
  <c r="K37" i="17" s="1"/>
  <c r="G34" i="17"/>
  <c r="J19" i="17"/>
  <c r="K19" i="17" s="1"/>
  <c r="J18" i="17"/>
  <c r="J17" i="17"/>
  <c r="B13" i="17"/>
  <c r="I16" i="17" s="1"/>
  <c r="B12" i="17"/>
  <c r="J71" i="17" s="1"/>
  <c r="J10" i="17"/>
  <c r="I9" i="17"/>
  <c r="K9" i="17" s="1"/>
  <c r="B9" i="17"/>
  <c r="I63" i="17" s="1"/>
  <c r="K63" i="17" s="1"/>
  <c r="I8" i="17"/>
  <c r="K8" i="17" s="1"/>
  <c r="I7" i="17"/>
  <c r="K7" i="17" s="1"/>
  <c r="I6" i="17"/>
  <c r="K6" i="17" s="1"/>
  <c r="G6" i="17"/>
  <c r="G7" i="16"/>
  <c r="C12" i="16"/>
  <c r="K10" i="17" l="1"/>
  <c r="K26" i="17" s="1"/>
  <c r="K16" i="17"/>
  <c r="K12" i="17"/>
  <c r="K13" i="17" s="1"/>
  <c r="K17" i="17"/>
  <c r="I43" i="17"/>
  <c r="K43" i="17" s="1"/>
  <c r="K53" i="17"/>
  <c r="K39" i="17"/>
  <c r="K40" i="17" s="1"/>
  <c r="K71" i="17"/>
  <c r="I44" i="17"/>
  <c r="K18" i="17"/>
  <c r="K65" i="17"/>
  <c r="H42" i="17"/>
  <c r="K42" i="17" s="1"/>
  <c r="K20" i="17" l="1"/>
  <c r="K22" i="17" s="1"/>
  <c r="K81" i="17"/>
  <c r="K67" i="17"/>
  <c r="K68" i="17" s="1"/>
  <c r="K44" i="17"/>
  <c r="I73" i="17"/>
  <c r="K73" i="17" s="1"/>
  <c r="K46" i="17"/>
  <c r="K48" i="17" s="1"/>
  <c r="I72" i="17"/>
  <c r="K72" i="17" s="1"/>
  <c r="K75" i="17" s="1"/>
  <c r="K76" i="17" s="1"/>
  <c r="K78" i="17" l="1"/>
  <c r="K79" i="17" s="1"/>
  <c r="K50" i="17"/>
  <c r="K51" i="17" s="1"/>
  <c r="K52" i="17" s="1"/>
  <c r="K54" i="17" s="1"/>
  <c r="K55" i="17" s="1"/>
  <c r="K56" i="17" s="1"/>
  <c r="G9" i="13" s="1"/>
  <c r="K23" i="17"/>
  <c r="K24" i="17" s="1"/>
  <c r="K25" i="17" s="1"/>
  <c r="K27" i="17" s="1"/>
  <c r="K28" i="17" s="1"/>
  <c r="G7" i="13" s="1"/>
  <c r="K80" i="17" l="1"/>
  <c r="K82" i="17" s="1"/>
  <c r="K83" i="17" s="1"/>
  <c r="K84" i="17" s="1"/>
  <c r="G14" i="13" s="1"/>
  <c r="C10" i="16" l="1"/>
  <c r="C11" i="16" s="1"/>
  <c r="G5" i="16" s="1"/>
  <c r="G6" i="16" s="1"/>
  <c r="D4" i="16"/>
  <c r="D5" i="16" s="1"/>
  <c r="D6" i="16" s="1"/>
  <c r="D7" i="16" s="1"/>
  <c r="G4" i="16" s="1"/>
  <c r="F21" i="13" l="1"/>
  <c r="H11" i="11" l="1"/>
  <c r="C27" i="13"/>
  <c r="C25" i="13"/>
  <c r="D21" i="13"/>
  <c r="C21" i="13" s="1"/>
  <c r="D18" i="13"/>
  <c r="C18" i="13" s="1"/>
  <c r="D17" i="13"/>
  <c r="C17" i="13" s="1"/>
  <c r="D14" i="13"/>
  <c r="C14" i="13" s="1"/>
  <c r="C13" i="13"/>
  <c r="D9" i="13"/>
  <c r="C8" i="13"/>
  <c r="D7" i="13"/>
  <c r="C7" i="13" s="1"/>
  <c r="D26" i="13" l="1"/>
  <c r="C9" i="13"/>
  <c r="D13" i="11"/>
  <c r="D7" i="11"/>
  <c r="C26" i="13"/>
  <c r="D28" i="13"/>
  <c r="E7" i="11" l="1"/>
  <c r="F7" i="11"/>
  <c r="E13" i="11"/>
  <c r="C28" i="13"/>
  <c r="F11" i="11" l="1"/>
  <c r="H7" i="11"/>
  <c r="I7" i="11" s="1"/>
  <c r="G7" i="11"/>
  <c r="J7" i="11" l="1"/>
  <c r="K7" i="11" s="1"/>
  <c r="H13" i="11"/>
  <c r="I13" i="11" s="1"/>
  <c r="F13" i="11"/>
  <c r="J13" i="11" l="1"/>
  <c r="F17" i="13"/>
  <c r="G13" i="11"/>
  <c r="G17" i="13" l="1"/>
  <c r="G26" i="13" s="1"/>
  <c r="K13" i="11"/>
  <c r="F18" i="13"/>
  <c r="G18" i="13" l="1"/>
  <c r="BO23" i="4" l="1"/>
  <c r="BN23" i="4"/>
  <c r="BM23" i="4"/>
  <c r="BL23" i="4"/>
  <c r="BK23" i="4"/>
  <c r="BJ23" i="4"/>
  <c r="BI23" i="4"/>
  <c r="BH23" i="4"/>
  <c r="BQ23" i="4" s="1"/>
  <c r="BQ25" i="4" s="1"/>
  <c r="BO22" i="4"/>
  <c r="BN22" i="4"/>
  <c r="BM22" i="4"/>
  <c r="BL22" i="4"/>
  <c r="BK22" i="4"/>
  <c r="BJ22" i="4"/>
  <c r="BI22" i="4"/>
  <c r="BH22" i="4"/>
  <c r="BQ19" i="4"/>
  <c r="BH19" i="4"/>
  <c r="F9" i="13" l="1"/>
  <c r="F14" i="13" l="1"/>
  <c r="F28" i="13" l="1"/>
  <c r="E28" i="13"/>
  <c r="F26" i="13"/>
  <c r="F7" i="13"/>
  <c r="G21" i="13" l="1"/>
</calcChain>
</file>

<file path=xl/sharedStrings.xml><?xml version="1.0" encoding="utf-8"?>
<sst xmlns="http://schemas.openxmlformats.org/spreadsheetml/2006/main" count="436" uniqueCount="220">
  <si>
    <t>Individual Supported Employment  - 3168</t>
  </si>
  <si>
    <t>Service Unit: Per Person Per Hour</t>
  </si>
  <si>
    <t>Position</t>
  </si>
  <si>
    <t>Salary</t>
  </si>
  <si>
    <t>FTE</t>
  </si>
  <si>
    <t>Expense</t>
  </si>
  <si>
    <t>Clinical, medical, specialized</t>
  </si>
  <si>
    <t xml:space="preserve">Direct Care </t>
  </si>
  <si>
    <t>Total Staff</t>
  </si>
  <si>
    <t>Tax &amp; Fringe</t>
  </si>
  <si>
    <t>Total Compensation</t>
  </si>
  <si>
    <t>Total Reimb Excl M &amp; G</t>
  </si>
  <si>
    <t>Admin Allocation</t>
  </si>
  <si>
    <t>TOTAL PROGRAM EXPENSE</t>
  </si>
  <si>
    <t>Hourly Rate</t>
  </si>
  <si>
    <t>Rate for 15 Minutes</t>
  </si>
  <si>
    <t>CAF  Period  (7/1/19 - 6/30/21)</t>
  </si>
  <si>
    <t>Massachusetts Economic Indicators</t>
  </si>
  <si>
    <t>IHS Markit Economics Spring 2018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</si>
  <si>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</si>
  <si>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</si>
  <si>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</si>
  <si>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</si>
  <si>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</si>
  <si>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</si>
  <si>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</si>
  <si>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</si>
  <si>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</si>
  <si>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</si>
  <si>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</si>
  <si>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</si>
  <si>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</si>
  <si>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</si>
  <si>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</si>
  <si>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</si>
  <si>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</si>
  <si>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</si>
  <si>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</si>
  <si>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</si>
  <si>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</si>
  <si>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</si>
  <si>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</si>
  <si>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</si>
  <si>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</si>
  <si>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</si>
  <si>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</si>
  <si>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</si>
  <si>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</si>
  <si>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</si>
  <si>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</si>
  <si>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</si>
  <si>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</si>
  <si>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</si>
  <si>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</si>
  <si>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</si>
  <si>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</si>
  <si>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</si>
  <si>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</si>
  <si>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</si>
  <si>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</si>
  <si>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</si>
  <si>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</si>
  <si>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</si>
  <si>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</si>
  <si>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</si>
  <si>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</si>
  <si>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</si>
  <si>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</si>
  <si>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</si>
  <si>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</si>
  <si>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</si>
  <si>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</si>
  <si>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</si>
  <si>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</si>
  <si>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</si>
  <si>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</si>
  <si>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</si>
  <si>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</si>
  <si>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</si>
  <si>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</si>
  <si>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</si>
  <si>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</si>
  <si>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</si>
  <si>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</si>
  <si>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</si>
  <si>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</si>
  <si>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</si>
  <si>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</si>
  <si>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</si>
  <si>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</si>
  <si>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</si>
  <si>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</si>
  <si>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</si>
  <si>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</si>
  <si>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</si>
  <si>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</si>
  <si>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</si>
  <si>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</si>
  <si>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</si>
  <si>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</si>
  <si>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</si>
  <si>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</si>
  <si>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</si>
  <si>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</si>
  <si>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</si>
  <si>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</si>
  <si>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</si>
  <si>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2019</t>
  </si>
  <si>
    <t xml:space="preserve">Base period: </t>
  </si>
  <si>
    <t>FY20Q2</t>
  </si>
  <si>
    <t>Average</t>
  </si>
  <si>
    <t xml:space="preserve">Prospective rate period: </t>
  </si>
  <si>
    <t>FY20 &amp; FY21</t>
  </si>
  <si>
    <t>CAF:</t>
  </si>
  <si>
    <t xml:space="preserve">  </t>
  </si>
  <si>
    <t>Group Supported Employment - 3181</t>
  </si>
  <si>
    <t>Total Slots</t>
  </si>
  <si>
    <t>Hours</t>
  </si>
  <si>
    <t>Clients per FTE</t>
  </si>
  <si>
    <t xml:space="preserve">Occupancy </t>
  </si>
  <si>
    <t>Group Supported Employment- HI INTENSITY - 3181</t>
  </si>
  <si>
    <t>Case Manager</t>
  </si>
  <si>
    <t>Consultant</t>
  </si>
  <si>
    <t>Total Hours per DC Staff</t>
  </si>
  <si>
    <t>Per FTE</t>
  </si>
  <si>
    <t>Staff Mileage</t>
  </si>
  <si>
    <t>Training</t>
  </si>
  <si>
    <t>Program Supplies/Materials</t>
  </si>
  <si>
    <t>Occupancy</t>
  </si>
  <si>
    <t>Total</t>
  </si>
  <si>
    <t>Rate</t>
  </si>
  <si>
    <t>Per Unit (hour)</t>
  </si>
  <si>
    <t xml:space="preserve">Per Unit </t>
  </si>
  <si>
    <t>Employment Specialist</t>
  </si>
  <si>
    <t>PFLMA Trust Contribution</t>
  </si>
  <si>
    <t xml:space="preserve">Total Slots  </t>
  </si>
  <si>
    <t>Benchmark Salary</t>
  </si>
  <si>
    <t>Source</t>
  </si>
  <si>
    <t>Management</t>
  </si>
  <si>
    <t>Blended Salaries  CBDS/SE</t>
  </si>
  <si>
    <t>Clin, Med, Specialized</t>
  </si>
  <si>
    <t>Rebased with applicable CAF</t>
  </si>
  <si>
    <t>Benchmark Expenses</t>
  </si>
  <si>
    <t>Staff Mileage per client</t>
  </si>
  <si>
    <t>Admin. Allocation</t>
  </si>
  <si>
    <t>Weighted Average FY17 UFR Data</t>
  </si>
  <si>
    <t>Weighted Average from Consolidated FY17 UFR data for 3168 and 3181</t>
  </si>
  <si>
    <t>Weighted Average from Consolidated FY17 UFR data for 3168 and 3182</t>
  </si>
  <si>
    <t>Program Supplies &amp; Materials</t>
  </si>
  <si>
    <t>PFMLA Trust Contribution</t>
  </si>
  <si>
    <t>Effective 7/1/19</t>
  </si>
  <si>
    <t>Period (7/1/19-6/30/21)</t>
  </si>
  <si>
    <t xml:space="preserve">CAF Period </t>
  </si>
  <si>
    <t>Supported Employment - Enhanced Staffing</t>
  </si>
  <si>
    <t>Direct Care</t>
  </si>
  <si>
    <t>Unit Rate -Hourly</t>
  </si>
  <si>
    <t>15 Min</t>
  </si>
  <si>
    <t>Mileage</t>
  </si>
  <si>
    <t>15 Minutes</t>
  </si>
  <si>
    <t>101 CMR 419.00: RATES FOR SUPPORTED EMPLOYMENT</t>
  </si>
  <si>
    <t>PROPOSED 1/1/18 - 12/31/19</t>
  </si>
  <si>
    <t>PPH Adj.</t>
  </si>
  <si>
    <t xml:space="preserve">CAF Rate - </t>
  </si>
  <si>
    <t xml:space="preserve">NEW RATE - </t>
  </si>
  <si>
    <t>BASE SERVICE</t>
  </si>
  <si>
    <t xml:space="preserve"> HOUR</t>
  </si>
  <si>
    <t>1/4 HOUR</t>
  </si>
  <si>
    <t>Individual Supported Employment - 3168</t>
  </si>
  <si>
    <t>Center Based Work Services - 3169</t>
  </si>
  <si>
    <t xml:space="preserve">HIGH INTENSITY SERVICE/SPECIALIZED </t>
  </si>
  <si>
    <t>PROGRAM RATES</t>
  </si>
  <si>
    <t>High Intensity Center Based Work Services - 3169</t>
  </si>
  <si>
    <t>High Intensity Group Supported Employment - 3181</t>
  </si>
  <si>
    <t>ADD-ON SERVICES</t>
  </si>
  <si>
    <t>Specialized Direct Care</t>
  </si>
  <si>
    <t>TRANSPORTATION TO INDIVIDUAL JOB SITES</t>
  </si>
  <si>
    <t>ENHANCED STAFFING FOR HIGHER INTENSITY CLIENTS</t>
  </si>
  <si>
    <t>(COMBINED ADD-ON AND BASE SERVICE RATES)</t>
  </si>
  <si>
    <t>1:1 Center Based Work Services</t>
  </si>
  <si>
    <t>1:1 Group Supported Employment</t>
  </si>
  <si>
    <t>1:3 Center Based Work Services</t>
  </si>
  <si>
    <t>1:3 Group Supported Employment</t>
  </si>
  <si>
    <t>FY20 CAF</t>
  </si>
  <si>
    <t>Direct Care / Support Staffing</t>
  </si>
  <si>
    <t xml:space="preserve">Support </t>
  </si>
  <si>
    <t>Salary plus T&amp;F</t>
  </si>
  <si>
    <t>FY20 PFLMA</t>
  </si>
  <si>
    <t xml:space="preserve">Per </t>
  </si>
  <si>
    <t>Occupancy (Per FTE)</t>
  </si>
  <si>
    <t>Wtg Average from  FY17 UFR data for 3181 GSE</t>
  </si>
  <si>
    <t xml:space="preserve">Wtg Average from  FY17 UFR data for 3168 ISE factor of 40% of time spent </t>
  </si>
  <si>
    <t>Wtg Average from Consolidated FY17 UFR data for 3168 and 3181</t>
  </si>
  <si>
    <t>TRAVEL ADD-ON</t>
  </si>
  <si>
    <t>Mileage Add-on Calculation</t>
  </si>
  <si>
    <t>Rate per Mile</t>
  </si>
  <si>
    <t>Mileage Estimate</t>
  </si>
  <si>
    <t>Add-on</t>
  </si>
  <si>
    <t>FY16 CAF</t>
  </si>
  <si>
    <t>Wage</t>
  </si>
  <si>
    <t>FY18 CAF</t>
  </si>
  <si>
    <t>Hourly</t>
  </si>
  <si>
    <t>Option 2 Driver Wage Component</t>
  </si>
  <si>
    <t>15 minutes</t>
  </si>
  <si>
    <t>Proposed FY20 Rate</t>
  </si>
  <si>
    <t>Transportation to and from job sites up to one hour ($29.48 hourly)</t>
  </si>
  <si>
    <t>Supported Employment</t>
  </si>
  <si>
    <t xml:space="preserve">Specialized Direct Care </t>
  </si>
  <si>
    <t>Supported Employment: Master Data Look-up Table</t>
  </si>
  <si>
    <t>IHS Markit, Fall 2018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</si>
  <si>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</si>
  <si>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</si>
  <si>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</si>
  <si>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</si>
  <si>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</si>
  <si>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</si>
  <si>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</si>
  <si>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</si>
  <si>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</si>
  <si>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</si>
  <si>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CBDS &amp; SE Rate Reviews that are to be promulgated July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</si>
</sst>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"/>
    <numFmt numFmtId="166" formatCode="0.000"/>
    <numFmt numFmtId="167" formatCode="_(&quot;$&quot;* #,##0_);_(&quot;$&quot;* \(#,##0\);_(&quot;$&quot;* &quot;-&quot;??_);_(@_)"/>
    <numFmt numFmtId="168" formatCode="&quot;$&quot;#,##0.00"/>
    <numFmt numFmtId="169" formatCode="&quot;$&quot;#,##0"/>
    <numFmt numFmtId="170" formatCode="0.00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3" tint="0.3999755851924192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64"/>
      <name val="Arial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30"/>
      <name val="Calibri"/>
      <family val="2"/>
    </font>
    <font>
      <sz val="10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8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indexed="8"/>
      <name val="Arial"/>
      <family val="2"/>
    </font>
    <font>
      <sz val="9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6" fillId="12" borderId="0" applyNumberFormat="0" applyBorder="0" applyAlignment="0" applyProtection="0"/>
    <xf numFmtId="0" fontId="17" fillId="29" borderId="24" applyNumberFormat="0" applyAlignment="0" applyProtection="0"/>
    <xf numFmtId="0" fontId="18" fillId="30" borderId="25" applyNumberFormat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0" borderId="26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0" applyNumberFormat="0" applyFill="0" applyBorder="0" applyAlignment="0" applyProtection="0"/>
    <xf numFmtId="0" fontId="26" fillId="16" borderId="24" applyNumberFormat="0" applyAlignment="0" applyProtection="0"/>
    <xf numFmtId="0" fontId="27" fillId="0" borderId="2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32" borderId="30" applyNumberFormat="0" applyFont="0" applyAlignment="0" applyProtection="0"/>
    <xf numFmtId="0" fontId="32" fillId="29" borderId="31" applyNumberForma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2" applyNumberFormat="0" applyFill="0" applyAlignment="0" applyProtection="0"/>
    <xf numFmtId="0" fontId="3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67">
    <xf numFmtId="0" fontId="0" fillId="0" borderId="0" xfId="0"/>
    <xf numFmtId="0" fontId="3" fillId="0" borderId="0" xfId="2" applyFont="1"/>
    <xf numFmtId="14" fontId="3" fillId="0" borderId="0" xfId="2" applyNumberFormat="1" applyFont="1" applyAlignment="1">
      <alignment horizontal="left"/>
    </xf>
    <xf numFmtId="0" fontId="4" fillId="0" borderId="4" xfId="2" applyFont="1" applyBorder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3" fontId="4" fillId="0" borderId="5" xfId="2" applyNumberFormat="1" applyFont="1" applyBorder="1" applyAlignment="1">
      <alignment horizontal="center"/>
    </xf>
    <xf numFmtId="0" fontId="4" fillId="0" borderId="6" xfId="2" applyFont="1" applyBorder="1"/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164" fontId="3" fillId="0" borderId="4" xfId="2" applyNumberFormat="1" applyFont="1" applyBorder="1"/>
    <xf numFmtId="6" fontId="3" fillId="0" borderId="0" xfId="2" applyNumberFormat="1" applyFont="1" applyBorder="1" applyAlignment="1">
      <alignment horizontal="center"/>
    </xf>
    <xf numFmtId="2" fontId="3" fillId="0" borderId="0" xfId="2" applyNumberFormat="1" applyFont="1" applyBorder="1" applyAlignment="1">
      <alignment horizontal="center"/>
    </xf>
    <xf numFmtId="6" fontId="3" fillId="0" borderId="5" xfId="2" applyNumberFormat="1" applyFont="1" applyBorder="1"/>
    <xf numFmtId="0" fontId="3" fillId="0" borderId="0" xfId="2" applyFont="1" applyBorder="1" applyAlignment="1">
      <alignment horizontal="center"/>
    </xf>
    <xf numFmtId="165" fontId="3" fillId="0" borderId="9" xfId="2" applyNumberFormat="1" applyFont="1" applyBorder="1"/>
    <xf numFmtId="6" fontId="3" fillId="0" borderId="10" xfId="2" applyNumberFormat="1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6" fontId="3" fillId="0" borderId="11" xfId="2" applyNumberFormat="1" applyFont="1" applyBorder="1"/>
    <xf numFmtId="0" fontId="3" fillId="0" borderId="4" xfId="2" applyFont="1" applyBorder="1"/>
    <xf numFmtId="0" fontId="3" fillId="0" borderId="0" xfId="2" applyFont="1" applyBorder="1"/>
    <xf numFmtId="0" fontId="3" fillId="0" borderId="5" xfId="2" applyFont="1" applyBorder="1"/>
    <xf numFmtId="0" fontId="3" fillId="0" borderId="6" xfId="2" applyFont="1" applyBorder="1"/>
    <xf numFmtId="10" fontId="3" fillId="0" borderId="7" xfId="2" applyNumberFormat="1" applyFont="1" applyBorder="1" applyAlignment="1">
      <alignment horizontal="center"/>
    </xf>
    <xf numFmtId="0" fontId="3" fillId="0" borderId="7" xfId="2" applyFont="1" applyBorder="1"/>
    <xf numFmtId="6" fontId="3" fillId="0" borderId="8" xfId="2" applyNumberFormat="1" applyFont="1" applyBorder="1"/>
    <xf numFmtId="0" fontId="4" fillId="0" borderId="12" xfId="2" applyFont="1" applyBorder="1"/>
    <xf numFmtId="0" fontId="3" fillId="0" borderId="13" xfId="2" applyFont="1" applyBorder="1"/>
    <xf numFmtId="6" fontId="4" fillId="0" borderId="14" xfId="2" applyNumberFormat="1" applyFont="1" applyBorder="1"/>
    <xf numFmtId="0" fontId="3" fillId="0" borderId="4" xfId="2" applyFont="1" applyBorder="1" applyAlignment="1"/>
    <xf numFmtId="8" fontId="3" fillId="0" borderId="5" xfId="2" applyNumberFormat="1" applyFont="1" applyBorder="1"/>
    <xf numFmtId="0" fontId="3" fillId="0" borderId="12" xfId="2" applyFont="1" applyBorder="1"/>
    <xf numFmtId="0" fontId="4" fillId="0" borderId="0" xfId="2" applyFont="1" applyBorder="1"/>
    <xf numFmtId="6" fontId="4" fillId="0" borderId="5" xfId="2" applyNumberFormat="1" applyFont="1" applyBorder="1"/>
    <xf numFmtId="8" fontId="6" fillId="0" borderId="0" xfId="2" applyNumberFormat="1" applyFont="1" applyBorder="1"/>
    <xf numFmtId="10" fontId="3" fillId="0" borderId="0" xfId="2" applyNumberFormat="1" applyFont="1" applyBorder="1" applyAlignment="1">
      <alignment horizontal="center"/>
    </xf>
    <xf numFmtId="0" fontId="3" fillId="0" borderId="9" xfId="2" applyFont="1" applyBorder="1"/>
    <xf numFmtId="0" fontId="3" fillId="0" borderId="10" xfId="2" applyFont="1" applyBorder="1"/>
    <xf numFmtId="0" fontId="2" fillId="0" borderId="0" xfId="3"/>
    <xf numFmtId="0" fontId="10" fillId="0" borderId="0" xfId="3" applyFont="1"/>
    <xf numFmtId="0" fontId="2" fillId="6" borderId="0" xfId="4" applyFont="1" applyFill="1"/>
    <xf numFmtId="0" fontId="11" fillId="6" borderId="0" xfId="4" applyFont="1" applyFill="1"/>
    <xf numFmtId="0" fontId="11" fillId="7" borderId="0" xfId="4" applyFont="1" applyFill="1"/>
    <xf numFmtId="0" fontId="11" fillId="3" borderId="0" xfId="4" applyFont="1" applyFill="1"/>
    <xf numFmtId="0" fontId="11" fillId="8" borderId="0" xfId="4" applyFont="1" applyFill="1"/>
    <xf numFmtId="0" fontId="11" fillId="9" borderId="0" xfId="4" applyFont="1" applyFill="1"/>
    <xf numFmtId="0" fontId="11" fillId="10" borderId="0" xfId="4" applyFont="1" applyFill="1"/>
    <xf numFmtId="14" fontId="10" fillId="0" borderId="0" xfId="3" applyNumberFormat="1" applyFont="1"/>
    <xf numFmtId="166" fontId="2" fillId="0" borderId="0" xfId="3" applyNumberFormat="1"/>
    <xf numFmtId="0" fontId="10" fillId="4" borderId="0" xfId="3" applyFont="1" applyFill="1"/>
    <xf numFmtId="166" fontId="2" fillId="4" borderId="0" xfId="3" applyNumberFormat="1" applyFill="1"/>
    <xf numFmtId="0" fontId="2" fillId="4" borderId="0" xfId="3" applyFill="1"/>
    <xf numFmtId="0" fontId="10" fillId="0" borderId="0" xfId="5" applyFont="1"/>
    <xf numFmtId="0" fontId="2" fillId="0" borderId="0" xfId="5"/>
    <xf numFmtId="0" fontId="12" fillId="0" borderId="0" xfId="5" applyFont="1"/>
    <xf numFmtId="0" fontId="13" fillId="0" borderId="0" xfId="5" applyFont="1"/>
    <xf numFmtId="0" fontId="2" fillId="0" borderId="17" xfId="5" applyBorder="1"/>
    <xf numFmtId="0" fontId="2" fillId="0" borderId="18" xfId="5" applyBorder="1"/>
    <xf numFmtId="0" fontId="2" fillId="0" borderId="19" xfId="5" applyBorder="1"/>
    <xf numFmtId="0" fontId="2" fillId="0" borderId="20" xfId="5" applyBorder="1"/>
    <xf numFmtId="0" fontId="2" fillId="0" borderId="0" xfId="5" applyBorder="1" applyAlignment="1">
      <alignment horizontal="right"/>
    </xf>
    <xf numFmtId="0" fontId="2" fillId="0" borderId="0" xfId="5" applyBorder="1"/>
    <xf numFmtId="0" fontId="2" fillId="0" borderId="21" xfId="5" applyBorder="1"/>
    <xf numFmtId="14" fontId="10" fillId="0" borderId="0" xfId="6" applyNumberFormat="1" applyFont="1"/>
    <xf numFmtId="0" fontId="14" fillId="0" borderId="21" xfId="5" applyFont="1" applyBorder="1" applyAlignment="1">
      <alignment horizontal="center"/>
    </xf>
    <xf numFmtId="166" fontId="2" fillId="0" borderId="0" xfId="5" applyNumberFormat="1" applyBorder="1"/>
    <xf numFmtId="166" fontId="2" fillId="0" borderId="21" xfId="5" applyNumberFormat="1" applyBorder="1" applyAlignment="1">
      <alignment horizontal="center"/>
    </xf>
    <xf numFmtId="0" fontId="2" fillId="0" borderId="21" xfId="5" applyBorder="1" applyAlignment="1">
      <alignment horizontal="center"/>
    </xf>
    <xf numFmtId="0" fontId="10" fillId="4" borderId="0" xfId="5" applyFont="1" applyFill="1" applyBorder="1" applyAlignment="1">
      <alignment horizontal="right"/>
    </xf>
    <xf numFmtId="10" fontId="10" fillId="4" borderId="21" xfId="7" applyNumberFormat="1" applyFont="1" applyFill="1" applyBorder="1" applyAlignment="1">
      <alignment horizontal="center"/>
    </xf>
    <xf numFmtId="0" fontId="2" fillId="0" borderId="22" xfId="5" applyBorder="1"/>
    <xf numFmtId="0" fontId="2" fillId="0" borderId="7" xfId="5" applyBorder="1"/>
    <xf numFmtId="0" fontId="2" fillId="0" borderId="23" xfId="5" applyBorder="1"/>
    <xf numFmtId="0" fontId="2" fillId="0" borderId="0" xfId="3" applyFont="1"/>
    <xf numFmtId="6" fontId="3" fillId="0" borderId="5" xfId="2" applyNumberFormat="1" applyFont="1" applyFill="1" applyBorder="1"/>
    <xf numFmtId="164" fontId="3" fillId="0" borderId="4" xfId="6" applyNumberFormat="1" applyFont="1" applyBorder="1"/>
    <xf numFmtId="6" fontId="3" fillId="0" borderId="0" xfId="2" applyNumberFormat="1" applyFont="1" applyBorder="1"/>
    <xf numFmtId="165" fontId="3" fillId="0" borderId="4" xfId="6" applyNumberFormat="1" applyFont="1" applyFill="1" applyBorder="1"/>
    <xf numFmtId="165" fontId="3" fillId="0" borderId="6" xfId="6" applyNumberFormat="1" applyFont="1" applyFill="1" applyBorder="1"/>
    <xf numFmtId="2" fontId="3" fillId="0" borderId="7" xfId="2" applyNumberFormat="1" applyFont="1" applyBorder="1" applyAlignment="1">
      <alignment horizontal="center"/>
    </xf>
    <xf numFmtId="6" fontId="3" fillId="0" borderId="7" xfId="2" applyNumberFormat="1" applyFont="1" applyBorder="1"/>
    <xf numFmtId="0" fontId="4" fillId="0" borderId="13" xfId="2" applyFont="1" applyBorder="1"/>
    <xf numFmtId="0" fontId="3" fillId="0" borderId="0" xfId="2" applyFont="1" applyBorder="1" applyAlignment="1"/>
    <xf numFmtId="8" fontId="3" fillId="0" borderId="0" xfId="2" applyNumberFormat="1" applyFont="1" applyBorder="1" applyAlignment="1">
      <alignment horizontal="center"/>
    </xf>
    <xf numFmtId="0" fontId="2" fillId="0" borderId="0" xfId="6"/>
    <xf numFmtId="8" fontId="2" fillId="0" borderId="0" xfId="6" applyNumberFormat="1"/>
    <xf numFmtId="6" fontId="3" fillId="0" borderId="7" xfId="2" applyNumberFormat="1" applyFont="1" applyBorder="1" applyAlignment="1">
      <alignment horizontal="center"/>
    </xf>
    <xf numFmtId="0" fontId="2" fillId="0" borderId="0" xfId="6" applyFill="1"/>
    <xf numFmtId="44" fontId="3" fillId="0" borderId="0" xfId="2" applyNumberFormat="1" applyFont="1" applyBorder="1"/>
    <xf numFmtId="168" fontId="1" fillId="0" borderId="0" xfId="54" applyNumberFormat="1" applyFont="1" applyFill="1" applyBorder="1" applyAlignment="1">
      <alignment horizontal="center" wrapText="1"/>
    </xf>
    <xf numFmtId="168" fontId="1" fillId="0" borderId="7" xfId="54" applyNumberFormat="1" applyFont="1" applyFill="1" applyBorder="1" applyAlignment="1">
      <alignment horizontal="center" wrapText="1"/>
    </xf>
    <xf numFmtId="8" fontId="0" fillId="0" borderId="0" xfId="0" applyNumberFormat="1"/>
    <xf numFmtId="44" fontId="3" fillId="0" borderId="7" xfId="2" applyNumberFormat="1" applyFont="1" applyBorder="1"/>
    <xf numFmtId="10" fontId="3" fillId="0" borderId="10" xfId="2" applyNumberFormat="1" applyFont="1" applyBorder="1" applyAlignment="1">
      <alignment horizontal="center"/>
    </xf>
    <xf numFmtId="0" fontId="3" fillId="0" borderId="15" xfId="2" applyFont="1" applyBorder="1"/>
    <xf numFmtId="168" fontId="3" fillId="0" borderId="0" xfId="2" applyNumberFormat="1" applyFont="1" applyBorder="1"/>
    <xf numFmtId="6" fontId="3" fillId="0" borderId="36" xfId="2" applyNumberFormat="1" applyFont="1" applyBorder="1"/>
    <xf numFmtId="6" fontId="3" fillId="0" borderId="36" xfId="2" applyNumberFormat="1" applyFont="1" applyFill="1" applyBorder="1"/>
    <xf numFmtId="0" fontId="4" fillId="0" borderId="34" xfId="2" applyFont="1" applyBorder="1" applyAlignment="1">
      <alignment horizontal="center"/>
    </xf>
    <xf numFmtId="37" fontId="4" fillId="0" borderId="15" xfId="2" applyNumberFormat="1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3" fontId="4" fillId="0" borderId="16" xfId="2" applyNumberFormat="1" applyFont="1" applyBorder="1" applyAlignment="1">
      <alignment horizontal="center"/>
    </xf>
    <xf numFmtId="0" fontId="0" fillId="0" borderId="0" xfId="0" applyBorder="1"/>
    <xf numFmtId="6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0" xfId="0" applyFill="1"/>
    <xf numFmtId="0" fontId="0" fillId="0" borderId="6" xfId="0" applyBorder="1"/>
    <xf numFmtId="10" fontId="0" fillId="0" borderId="0" xfId="0" applyNumberFormat="1"/>
    <xf numFmtId="1" fontId="0" fillId="0" borderId="0" xfId="0" applyNumberFormat="1"/>
    <xf numFmtId="10" fontId="43" fillId="33" borderId="0" xfId="1" applyNumberFormat="1" applyFont="1" applyFill="1"/>
    <xf numFmtId="6" fontId="3" fillId="33" borderId="0" xfId="2" applyNumberFormat="1" applyFont="1" applyFill="1" applyBorder="1"/>
    <xf numFmtId="0" fontId="44" fillId="0" borderId="0" xfId="0" applyFont="1"/>
    <xf numFmtId="10" fontId="3" fillId="0" borderId="0" xfId="2" applyNumberFormat="1" applyFont="1" applyBorder="1" applyAlignment="1">
      <alignment horizontal="right"/>
    </xf>
    <xf numFmtId="0" fontId="4" fillId="0" borderId="46" xfId="2" applyFont="1" applyBorder="1"/>
    <xf numFmtId="0" fontId="3" fillId="0" borderId="18" xfId="2" applyFont="1" applyBorder="1"/>
    <xf numFmtId="6" fontId="4" fillId="0" borderId="47" xfId="2" applyNumberFormat="1" applyFont="1" applyBorder="1"/>
    <xf numFmtId="0" fontId="4" fillId="0" borderId="34" xfId="2" applyFont="1" applyBorder="1"/>
    <xf numFmtId="6" fontId="4" fillId="0" borderId="16" xfId="2" applyNumberFormat="1" applyFont="1" applyBorder="1"/>
    <xf numFmtId="10" fontId="3" fillId="0" borderId="0" xfId="6" applyNumberFormat="1" applyFont="1" applyBorder="1" applyAlignment="1">
      <alignment horizontal="center"/>
    </xf>
    <xf numFmtId="0" fontId="3" fillId="0" borderId="10" xfId="6" applyFont="1" applyFill="1" applyBorder="1"/>
    <xf numFmtId="8" fontId="4" fillId="0" borderId="5" xfId="2" applyNumberFormat="1" applyFont="1" applyFill="1" applyBorder="1"/>
    <xf numFmtId="8" fontId="4" fillId="4" borderId="45" xfId="2" applyNumberFormat="1" applyFont="1" applyFill="1" applyBorder="1"/>
    <xf numFmtId="0" fontId="45" fillId="0" borderId="39" xfId="2" applyFont="1" applyBorder="1"/>
    <xf numFmtId="10" fontId="45" fillId="0" borderId="40" xfId="2" applyNumberFormat="1" applyFont="1" applyBorder="1" applyAlignment="1">
      <alignment horizontal="right"/>
    </xf>
    <xf numFmtId="0" fontId="45" fillId="0" borderId="40" xfId="2" applyFont="1" applyBorder="1"/>
    <xf numFmtId="6" fontId="45" fillId="0" borderId="36" xfId="2" applyNumberFormat="1" applyFont="1" applyBorder="1"/>
    <xf numFmtId="10" fontId="45" fillId="0" borderId="40" xfId="6" applyNumberFormat="1" applyFont="1" applyBorder="1" applyAlignment="1">
      <alignment horizontal="center"/>
    </xf>
    <xf numFmtId="6" fontId="46" fillId="0" borderId="36" xfId="2" applyNumberFormat="1" applyFont="1" applyBorder="1"/>
    <xf numFmtId="10" fontId="13" fillId="0" borderId="40" xfId="6" applyNumberFormat="1" applyFont="1" applyBorder="1" applyAlignment="1">
      <alignment horizontal="center"/>
    </xf>
    <xf numFmtId="0" fontId="4" fillId="0" borderId="7" xfId="2" applyFont="1" applyBorder="1"/>
    <xf numFmtId="164" fontId="3" fillId="0" borderId="0" xfId="2" applyNumberFormat="1" applyFont="1" applyBorder="1"/>
    <xf numFmtId="165" fontId="3" fillId="0" borderId="10" xfId="2" applyNumberFormat="1" applyFont="1" applyBorder="1"/>
    <xf numFmtId="0" fontId="4" fillId="0" borderId="18" xfId="2" applyFont="1" applyBorder="1"/>
    <xf numFmtId="0" fontId="4" fillId="0" borderId="15" xfId="2" applyFont="1" applyBorder="1"/>
    <xf numFmtId="164" fontId="48" fillId="0" borderId="4" xfId="0" applyNumberFormat="1" applyFont="1" applyBorder="1" applyAlignment="1">
      <alignment horizontal="left"/>
    </xf>
    <xf numFmtId="0" fontId="48" fillId="0" borderId="5" xfId="0" applyFont="1" applyBorder="1" applyAlignment="1"/>
    <xf numFmtId="0" fontId="39" fillId="0" borderId="5" xfId="0" applyFont="1" applyBorder="1" applyAlignment="1">
      <alignment horizontal="left"/>
    </xf>
    <xf numFmtId="0" fontId="39" fillId="0" borderId="0" xfId="0" applyFont="1" applyBorder="1" applyAlignment="1"/>
    <xf numFmtId="0" fontId="39" fillId="0" borderId="5" xfId="0" applyFont="1" applyBorder="1" applyAlignment="1"/>
    <xf numFmtId="0" fontId="48" fillId="0" borderId="4" xfId="0" applyFont="1" applyFill="1" applyBorder="1" applyAlignment="1">
      <alignment horizontal="left"/>
    </xf>
    <xf numFmtId="0" fontId="48" fillId="0" borderId="4" xfId="0" applyFont="1" applyBorder="1" applyAlignment="1">
      <alignment horizontal="left"/>
    </xf>
    <xf numFmtId="0" fontId="48" fillId="0" borderId="9" xfId="0" applyFont="1" applyBorder="1" applyAlignment="1">
      <alignment horizontal="left"/>
    </xf>
    <xf numFmtId="0" fontId="39" fillId="0" borderId="10" xfId="0" applyFont="1" applyBorder="1" applyAlignment="1"/>
    <xf numFmtId="0" fontId="39" fillId="0" borderId="11" xfId="0" applyFont="1" applyBorder="1" applyAlignment="1"/>
    <xf numFmtId="164" fontId="45" fillId="0" borderId="4" xfId="80" applyNumberFormat="1" applyFont="1" applyFill="1" applyBorder="1"/>
    <xf numFmtId="170" fontId="0" fillId="0" borderId="0" xfId="0" applyNumberFormat="1"/>
    <xf numFmtId="0" fontId="4" fillId="7" borderId="16" xfId="0" applyFont="1" applyFill="1" applyBorder="1" applyAlignment="1">
      <alignment horizontal="center" vertical="center"/>
    </xf>
    <xf numFmtId="0" fontId="48" fillId="0" borderId="0" xfId="0" applyFont="1" applyBorder="1" applyAlignment="1"/>
    <xf numFmtId="0" fontId="39" fillId="0" borderId="0" xfId="0" applyFont="1" applyBorder="1" applyAlignment="1">
      <alignment horizontal="left"/>
    </xf>
    <xf numFmtId="0" fontId="3" fillId="0" borderId="0" xfId="80" applyFont="1" applyFill="1" applyBorder="1"/>
    <xf numFmtId="0" fontId="45" fillId="0" borderId="0" xfId="80" applyFont="1" applyFill="1" applyBorder="1"/>
    <xf numFmtId="0" fontId="45" fillId="0" borderId="5" xfId="80" applyFont="1" applyBorder="1" applyAlignment="1">
      <alignment horizontal="center"/>
    </xf>
    <xf numFmtId="0" fontId="39" fillId="0" borderId="2" xfId="0" applyFont="1" applyBorder="1" applyAlignment="1"/>
    <xf numFmtId="0" fontId="39" fillId="0" borderId="3" xfId="0" applyFont="1" applyBorder="1" applyAlignment="1"/>
    <xf numFmtId="0" fontId="40" fillId="33" borderId="2" xfId="0" applyFont="1" applyFill="1" applyBorder="1" applyAlignment="1">
      <alignment horizontal="center"/>
    </xf>
    <xf numFmtId="0" fontId="40" fillId="33" borderId="3" xfId="0" applyFont="1" applyFill="1" applyBorder="1" applyAlignment="1">
      <alignment horizontal="center"/>
    </xf>
    <xf numFmtId="10" fontId="45" fillId="0" borderId="0" xfId="80" applyNumberFormat="1" applyFont="1" applyFill="1" applyBorder="1" applyAlignment="1">
      <alignment horizontal="center"/>
    </xf>
    <xf numFmtId="169" fontId="48" fillId="0" borderId="0" xfId="116" applyNumberFormat="1" applyFont="1" applyFill="1" applyBorder="1" applyAlignment="1">
      <alignment horizontal="center"/>
    </xf>
    <xf numFmtId="10" fontId="48" fillId="0" borderId="0" xfId="0" applyNumberFormat="1" applyFont="1" applyFill="1" applyBorder="1" applyAlignment="1">
      <alignment horizontal="center" vertical="center"/>
    </xf>
    <xf numFmtId="168" fontId="48" fillId="0" borderId="0" xfId="53" applyNumberFormat="1" applyFont="1" applyFill="1" applyBorder="1" applyAlignment="1">
      <alignment horizontal="center" vertical="center"/>
    </xf>
    <xf numFmtId="168" fontId="0" fillId="0" borderId="0" xfId="0" applyNumberFormat="1"/>
    <xf numFmtId="0" fontId="49" fillId="0" borderId="0" xfId="0" applyFont="1" applyFill="1" applyAlignment="1"/>
    <xf numFmtId="14" fontId="50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51" fillId="34" borderId="48" xfId="0" applyFont="1" applyFill="1" applyBorder="1" applyAlignment="1"/>
    <xf numFmtId="0" fontId="51" fillId="34" borderId="38" xfId="0" applyFont="1" applyFill="1" applyBorder="1"/>
    <xf numFmtId="6" fontId="51" fillId="34" borderId="49" xfId="0" applyNumberFormat="1" applyFont="1" applyFill="1" applyBorder="1"/>
    <xf numFmtId="0" fontId="51" fillId="0" borderId="0" xfId="0" applyFont="1" applyFill="1"/>
    <xf numFmtId="0" fontId="52" fillId="0" borderId="0" xfId="0" applyFont="1" applyFill="1" applyAlignment="1"/>
    <xf numFmtId="0" fontId="51" fillId="35" borderId="0" xfId="0" applyFont="1" applyFill="1"/>
    <xf numFmtId="6" fontId="51" fillId="35" borderId="0" xfId="0" applyNumberFormat="1" applyFont="1" applyFill="1"/>
    <xf numFmtId="10" fontId="0" fillId="0" borderId="0" xfId="0" applyNumberFormat="1" applyFill="1" applyAlignment="1">
      <alignment horizontal="center"/>
    </xf>
    <xf numFmtId="10" fontId="0" fillId="0" borderId="0" xfId="0" applyNumberFormat="1" applyFill="1"/>
    <xf numFmtId="10" fontId="0" fillId="0" borderId="0" xfId="0" applyNumberFormat="1" applyAlignment="1">
      <alignment horizontal="center"/>
    </xf>
    <xf numFmtId="0" fontId="0" fillId="0" borderId="33" xfId="0" applyFill="1" applyBorder="1" applyAlignment="1">
      <alignment wrapText="1"/>
    </xf>
    <xf numFmtId="0" fontId="53" fillId="0" borderId="33" xfId="0" applyFont="1" applyBorder="1" applyAlignment="1">
      <alignment wrapText="1"/>
    </xf>
    <xf numFmtId="6" fontId="53" fillId="0" borderId="33" xfId="0" applyNumberFormat="1" applyFont="1" applyBorder="1" applyAlignment="1">
      <alignment wrapText="1"/>
    </xf>
    <xf numFmtId="0" fontId="54" fillId="0" borderId="33" xfId="0" applyFont="1" applyBorder="1" applyAlignment="1">
      <alignment wrapText="1"/>
    </xf>
    <xf numFmtId="0" fontId="35" fillId="0" borderId="33" xfId="0" applyFont="1" applyBorder="1"/>
    <xf numFmtId="0" fontId="53" fillId="0" borderId="33" xfId="0" applyFont="1" applyFill="1" applyBorder="1" applyAlignment="1">
      <alignment wrapText="1"/>
    </xf>
    <xf numFmtId="6" fontId="0" fillId="0" borderId="33" xfId="0" applyNumberFormat="1" applyFill="1" applyBorder="1"/>
    <xf numFmtId="8" fontId="0" fillId="0" borderId="33" xfId="0" applyNumberFormat="1" applyFill="1" applyBorder="1"/>
    <xf numFmtId="0" fontId="0" fillId="0" borderId="0" xfId="0" applyFill="1" applyAlignment="1">
      <alignment wrapText="1"/>
    </xf>
    <xf numFmtId="0" fontId="35" fillId="0" borderId="0" xfId="0" applyFont="1" applyFill="1" applyBorder="1"/>
    <xf numFmtId="43" fontId="0" fillId="0" borderId="0" xfId="0" applyNumberFormat="1" applyBorder="1"/>
    <xf numFmtId="0" fontId="0" fillId="0" borderId="37" xfId="0" applyBorder="1"/>
    <xf numFmtId="8" fontId="0" fillId="0" borderId="0" xfId="0" applyNumberFormat="1" applyFill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55" fillId="0" borderId="0" xfId="0" applyFont="1" applyBorder="1" applyAlignment="1">
      <alignment horizontal="center" vertical="center"/>
    </xf>
    <xf numFmtId="10" fontId="42" fillId="33" borderId="9" xfId="0" applyNumberFormat="1" applyFont="1" applyFill="1" applyBorder="1" applyAlignment="1">
      <alignment horizontal="center" vertical="center" wrapText="1"/>
    </xf>
    <xf numFmtId="10" fontId="42" fillId="33" borderId="11" xfId="0" applyNumberFormat="1" applyFont="1" applyFill="1" applyBorder="1" applyAlignment="1">
      <alignment horizontal="center" vertical="center" wrapText="1"/>
    </xf>
    <xf numFmtId="0" fontId="0" fillId="0" borderId="50" xfId="0" applyBorder="1"/>
    <xf numFmtId="0" fontId="42" fillId="0" borderId="50" xfId="0" applyFont="1" applyBorder="1" applyAlignment="1">
      <alignment horizontal="center"/>
    </xf>
    <xf numFmtId="0" fontId="56" fillId="0" borderId="41" xfId="0" applyFont="1" applyBorder="1" applyAlignment="1">
      <alignment horizontal="center"/>
    </xf>
    <xf numFmtId="0" fontId="42" fillId="0" borderId="41" xfId="0" applyFont="1" applyBorder="1" applyAlignment="1">
      <alignment horizontal="center"/>
    </xf>
    <xf numFmtId="168" fontId="0" fillId="0" borderId="51" xfId="0" applyNumberFormat="1" applyBorder="1" applyAlignment="1">
      <alignment horizontal="center"/>
    </xf>
    <xf numFmtId="168" fontId="42" fillId="36" borderId="52" xfId="0" applyNumberFormat="1" applyFont="1" applyFill="1" applyBorder="1" applyAlignment="1">
      <alignment horizontal="center"/>
    </xf>
    <xf numFmtId="0" fontId="0" fillId="37" borderId="37" xfId="0" applyFill="1" applyBorder="1"/>
    <xf numFmtId="168" fontId="0" fillId="0" borderId="37" xfId="0" applyNumberFormat="1" applyBorder="1" applyAlignment="1">
      <alignment horizontal="center"/>
    </xf>
    <xf numFmtId="168" fontId="42" fillId="36" borderId="44" xfId="0" applyNumberFormat="1" applyFont="1" applyFill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0" fontId="56" fillId="0" borderId="37" xfId="0" applyFont="1" applyBorder="1" applyAlignment="1">
      <alignment horizontal="center"/>
    </xf>
    <xf numFmtId="168" fontId="0" fillId="37" borderId="42" xfId="0" applyNumberFormat="1" applyFill="1" applyBorder="1" applyAlignment="1">
      <alignment horizontal="center"/>
    </xf>
    <xf numFmtId="168" fontId="42" fillId="36" borderId="42" xfId="0" applyNumberFormat="1" applyFont="1" applyFill="1" applyBorder="1" applyAlignment="1">
      <alignment horizontal="center"/>
    </xf>
    <xf numFmtId="0" fontId="0" fillId="37" borderId="37" xfId="0" applyFont="1" applyFill="1" applyBorder="1"/>
    <xf numFmtId="0" fontId="0" fillId="0" borderId="37" xfId="0" applyFont="1" applyBorder="1"/>
    <xf numFmtId="168" fontId="0" fillId="36" borderId="42" xfId="0" applyNumberFormat="1" applyFill="1" applyBorder="1" applyAlignment="1">
      <alignment horizontal="center"/>
    </xf>
    <xf numFmtId="0" fontId="0" fillId="0" borderId="35" xfId="0" applyFont="1" applyBorder="1"/>
    <xf numFmtId="168" fontId="0" fillId="0" borderId="35" xfId="0" applyNumberFormat="1" applyBorder="1" applyAlignment="1">
      <alignment horizontal="center"/>
    </xf>
    <xf numFmtId="168" fontId="42" fillId="36" borderId="53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57" fillId="0" borderId="0" xfId="0" applyFont="1"/>
    <xf numFmtId="0" fontId="53" fillId="0" borderId="0" xfId="0" applyFont="1" applyFill="1" applyBorder="1" applyAlignment="1">
      <alignment wrapText="1"/>
    </xf>
    <xf numFmtId="6" fontId="0" fillId="0" borderId="0" xfId="0" applyNumberFormat="1" applyFill="1" applyBorder="1"/>
    <xf numFmtId="8" fontId="42" fillId="0" borderId="0" xfId="0" applyNumberFormat="1" applyFont="1" applyFill="1" applyBorder="1"/>
    <xf numFmtId="0" fontId="0" fillId="0" borderId="0" xfId="0" applyFill="1" applyBorder="1"/>
    <xf numFmtId="166" fontId="0" fillId="0" borderId="0" xfId="0" applyNumberFormat="1" applyFill="1" applyBorder="1"/>
    <xf numFmtId="8" fontId="0" fillId="0" borderId="33" xfId="0" applyNumberFormat="1" applyFont="1" applyFill="1" applyBorder="1"/>
    <xf numFmtId="8" fontId="0" fillId="4" borderId="33" xfId="0" applyNumberFormat="1" applyFont="1" applyFill="1" applyBorder="1" applyAlignment="1">
      <alignment horizontal="center"/>
    </xf>
    <xf numFmtId="0" fontId="42" fillId="0" borderId="34" xfId="0" applyFont="1" applyFill="1" applyBorder="1" applyAlignment="1">
      <alignment horizontal="center"/>
    </xf>
    <xf numFmtId="168" fontId="42" fillId="0" borderId="4" xfId="0" applyNumberFormat="1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168" fontId="42" fillId="0" borderId="9" xfId="0" applyNumberFormat="1" applyFont="1" applyFill="1" applyBorder="1" applyAlignment="1">
      <alignment horizontal="center"/>
    </xf>
    <xf numFmtId="0" fontId="42" fillId="0" borderId="34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168" fontId="42" fillId="0" borderId="54" xfId="0" applyNumberFormat="1" applyFont="1" applyFill="1" applyBorder="1" applyAlignment="1">
      <alignment horizontal="center"/>
    </xf>
    <xf numFmtId="168" fontId="42" fillId="0" borderId="54" xfId="0" applyNumberFormat="1" applyFont="1" applyBorder="1" applyAlignment="1">
      <alignment horizontal="center"/>
    </xf>
    <xf numFmtId="168" fontId="4" fillId="0" borderId="54" xfId="0" applyNumberFormat="1" applyFont="1" applyFill="1" applyBorder="1" applyAlignment="1">
      <alignment horizontal="center"/>
    </xf>
    <xf numFmtId="168" fontId="42" fillId="0" borderId="55" xfId="0" applyNumberFormat="1" applyFont="1" applyFill="1" applyBorder="1" applyAlignment="1">
      <alignment horizontal="center"/>
    </xf>
    <xf numFmtId="168" fontId="0" fillId="0" borderId="54" xfId="0" applyNumberFormat="1" applyFill="1" applyBorder="1" applyAlignment="1">
      <alignment horizontal="center"/>
    </xf>
    <xf numFmtId="168" fontId="0" fillId="0" borderId="54" xfId="0" applyNumberFormat="1" applyBorder="1" applyAlignment="1">
      <alignment horizontal="center"/>
    </xf>
    <xf numFmtId="168" fontId="0" fillId="0" borderId="55" xfId="0" applyNumberFormat="1" applyBorder="1" applyAlignment="1">
      <alignment horizontal="center"/>
    </xf>
    <xf numFmtId="10" fontId="0" fillId="0" borderId="0" xfId="1" applyNumberFormat="1" applyFont="1"/>
    <xf numFmtId="169" fontId="48" fillId="0" borderId="0" xfId="53" applyNumberFormat="1" applyFont="1" applyFill="1" applyBorder="1" applyAlignment="1">
      <alignment horizontal="center" vertical="center"/>
    </xf>
    <xf numFmtId="169" fontId="1" fillId="0" borderId="0" xfId="54" applyNumberFormat="1" applyFont="1" applyFill="1" applyBorder="1" applyAlignment="1">
      <alignment horizontal="center" wrapText="1"/>
    </xf>
    <xf numFmtId="169" fontId="3" fillId="0" borderId="0" xfId="2" applyNumberFormat="1" applyFont="1" applyBorder="1"/>
    <xf numFmtId="165" fontId="3" fillId="0" borderId="0" xfId="2" applyNumberFormat="1" applyFont="1" applyBorder="1"/>
    <xf numFmtId="0" fontId="42" fillId="0" borderId="4" xfId="0" applyFont="1" applyBorder="1"/>
    <xf numFmtId="0" fontId="0" fillId="0" borderId="43" xfId="0" applyBorder="1"/>
    <xf numFmtId="0" fontId="52" fillId="0" borderId="33" xfId="0" applyFont="1" applyBorder="1" applyAlignment="1">
      <alignment horizontal="center" wrapText="1"/>
    </xf>
    <xf numFmtId="0" fontId="35" fillId="0" borderId="33" xfId="0" applyFont="1" applyFill="1" applyBorder="1" applyAlignment="1">
      <alignment horizontal="center" vertical="center"/>
    </xf>
    <xf numFmtId="0" fontId="42" fillId="0" borderId="0" xfId="0" applyFont="1" applyBorder="1"/>
    <xf numFmtId="168" fontId="42" fillId="0" borderId="0" xfId="0" applyNumberFormat="1" applyFont="1" applyBorder="1"/>
    <xf numFmtId="0" fontId="42" fillId="0" borderId="7" xfId="0" applyFont="1" applyBorder="1"/>
    <xf numFmtId="168" fontId="42" fillId="0" borderId="7" xfId="0" applyNumberFormat="1" applyFont="1" applyBorder="1"/>
    <xf numFmtId="0" fontId="42" fillId="0" borderId="40" xfId="0" applyFont="1" applyBorder="1"/>
    <xf numFmtId="168" fontId="42" fillId="4" borderId="40" xfId="0" applyNumberFormat="1" applyFont="1" applyFill="1" applyBorder="1"/>
    <xf numFmtId="8" fontId="0" fillId="0" borderId="0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3" xfId="0" applyFill="1" applyBorder="1"/>
    <xf numFmtId="0" fontId="42" fillId="0" borderId="4" xfId="0" applyFont="1" applyFill="1" applyBorder="1"/>
    <xf numFmtId="0" fontId="0" fillId="0" borderId="37" xfId="0" applyFill="1" applyBorder="1"/>
    <xf numFmtId="0" fontId="0" fillId="0" borderId="4" xfId="0" applyFill="1" applyBorder="1"/>
    <xf numFmtId="0" fontId="0" fillId="0" borderId="33" xfId="0" applyFill="1" applyBorder="1" applyAlignment="1">
      <alignment horizontal="center"/>
    </xf>
    <xf numFmtId="168" fontId="5" fillId="0" borderId="33" xfId="0" applyNumberFormat="1" applyFont="1" applyFill="1" applyBorder="1" applyAlignment="1">
      <alignment horizontal="center"/>
    </xf>
    <xf numFmtId="168" fontId="42" fillId="4" borderId="0" xfId="0" applyNumberFormat="1" applyFont="1" applyFill="1" applyBorder="1"/>
    <xf numFmtId="5" fontId="3" fillId="0" borderId="0" xfId="2" applyNumberFormat="1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169" fontId="3" fillId="0" borderId="0" xfId="2" applyNumberFormat="1" applyFont="1" applyBorder="1" applyAlignment="1"/>
    <xf numFmtId="168" fontId="0" fillId="0" borderId="37" xfId="0" applyNumberFormat="1" applyFill="1" applyBorder="1" applyAlignment="1">
      <alignment horizontal="center"/>
    </xf>
    <xf numFmtId="168" fontId="42" fillId="0" borderId="42" xfId="0" applyNumberFormat="1" applyFont="1" applyFill="1" applyBorder="1" applyAlignment="1">
      <alignment horizontal="center"/>
    </xf>
    <xf numFmtId="165" fontId="3" fillId="0" borderId="4" xfId="2" applyNumberFormat="1" applyFont="1" applyFill="1" applyBorder="1"/>
    <xf numFmtId="165" fontId="3" fillId="0" borderId="0" xfId="2" applyNumberFormat="1" applyFont="1" applyFill="1" applyBorder="1"/>
    <xf numFmtId="2" fontId="3" fillId="0" borderId="0" xfId="2" applyNumberFormat="1" applyFont="1" applyFill="1" applyBorder="1" applyAlignment="1">
      <alignment horizontal="right"/>
    </xf>
    <xf numFmtId="167" fontId="5" fillId="0" borderId="0" xfId="47" applyNumberFormat="1" applyFont="1" applyFill="1" applyBorder="1"/>
    <xf numFmtId="167" fontId="29" fillId="0" borderId="0" xfId="47" applyNumberFormat="1" applyFont="1" applyFill="1" applyBorder="1" applyAlignment="1">
      <alignment horizontal="center" wrapText="1"/>
    </xf>
    <xf numFmtId="44" fontId="0" fillId="0" borderId="0" xfId="0" applyNumberFormat="1" applyFill="1" applyBorder="1"/>
    <xf numFmtId="0" fontId="0" fillId="0" borderId="43" xfId="0" applyFill="1" applyBorder="1"/>
    <xf numFmtId="0" fontId="61" fillId="0" borderId="0" xfId="0" applyFont="1" applyFill="1" applyBorder="1"/>
    <xf numFmtId="0" fontId="58" fillId="0" borderId="0" xfId="0" applyFont="1" applyFill="1" applyBorder="1"/>
    <xf numFmtId="0" fontId="51" fillId="0" borderId="0" xfId="0" applyFont="1" applyFill="1" applyBorder="1" applyAlignment="1"/>
    <xf numFmtId="0" fontId="59" fillId="0" borderId="0" xfId="0" applyFont="1" applyFill="1" applyBorder="1" applyAlignment="1"/>
    <xf numFmtId="0" fontId="59" fillId="0" borderId="0" xfId="0" applyFont="1" applyFill="1" applyBorder="1"/>
    <xf numFmtId="0" fontId="60" fillId="0" borderId="0" xfId="0" applyFont="1" applyFill="1" applyBorder="1" applyAlignment="1"/>
    <xf numFmtId="0" fontId="51" fillId="0" borderId="0" xfId="0" applyFont="1" applyFill="1" applyBorder="1"/>
    <xf numFmtId="0" fontId="63" fillId="0" borderId="0" xfId="0" applyFont="1" applyFill="1" applyBorder="1" applyAlignment="1">
      <alignment wrapText="1"/>
    </xf>
    <xf numFmtId="0" fontId="52" fillId="0" borderId="0" xfId="0" applyFont="1" applyFill="1" applyBorder="1" applyAlignment="1">
      <alignment wrapText="1"/>
    </xf>
    <xf numFmtId="168" fontId="35" fillId="0" borderId="0" xfId="0" applyNumberFormat="1" applyFont="1" applyFill="1" applyBorder="1"/>
    <xf numFmtId="0" fontId="0" fillId="0" borderId="0" xfId="0" applyFill="1" applyBorder="1" applyAlignment="1">
      <alignment wrapText="1"/>
    </xf>
    <xf numFmtId="8" fontId="0" fillId="0" borderId="0" xfId="0" applyNumberFormat="1" applyFont="1" applyFill="1" applyBorder="1"/>
    <xf numFmtId="168" fontId="0" fillId="0" borderId="0" xfId="0" applyNumberFormat="1" applyFill="1" applyBorder="1"/>
    <xf numFmtId="167" fontId="62" fillId="0" borderId="0" xfId="47" applyNumberFormat="1" applyFont="1" applyFill="1" applyBorder="1" applyAlignment="1">
      <alignment horizontal="center" wrapText="1"/>
    </xf>
    <xf numFmtId="0" fontId="53" fillId="0" borderId="0" xfId="0" applyFont="1" applyFill="1" applyBorder="1"/>
    <xf numFmtId="169" fontId="35" fillId="0" borderId="0" xfId="0" applyNumberFormat="1" applyFont="1" applyFill="1" applyBorder="1"/>
    <xf numFmtId="8" fontId="35" fillId="0" borderId="0" xfId="0" applyNumberFormat="1" applyFont="1" applyFill="1" applyBorder="1"/>
    <xf numFmtId="167" fontId="8" fillId="0" borderId="0" xfId="47" applyNumberFormat="1" applyFont="1" applyFill="1" applyBorder="1"/>
    <xf numFmtId="167" fontId="2" fillId="0" borderId="0" xfId="47" applyNumberFormat="1" applyFont="1" applyFill="1" applyBorder="1"/>
    <xf numFmtId="0" fontId="52" fillId="0" borderId="0" xfId="0" applyFont="1" applyFill="1" applyBorder="1"/>
    <xf numFmtId="167" fontId="63" fillId="0" borderId="0" xfId="47" applyNumberFormat="1" applyFont="1" applyFill="1" applyBorder="1"/>
    <xf numFmtId="44" fontId="5" fillId="0" borderId="0" xfId="47" applyNumberFormat="1" applyFont="1" applyFill="1" applyBorder="1"/>
    <xf numFmtId="0" fontId="55" fillId="0" borderId="0" xfId="0" applyFont="1" applyBorder="1" applyAlignment="1">
      <alignment horizontal="left" vertical="center"/>
    </xf>
    <xf numFmtId="0" fontId="0" fillId="0" borderId="43" xfId="0" applyFill="1" applyBorder="1" applyAlignment="1">
      <alignment horizontal="center"/>
    </xf>
    <xf numFmtId="0" fontId="7" fillId="5" borderId="15" xfId="74" applyFont="1" applyFill="1" applyBorder="1"/>
    <xf numFmtId="0" fontId="8" fillId="5" borderId="16" xfId="74" applyFont="1" applyFill="1" applyBorder="1"/>
    <xf numFmtId="0" fontId="2" fillId="0" borderId="0" xfId="74"/>
    <xf numFmtId="0" fontId="8" fillId="5" borderId="0" xfId="74" applyFont="1" applyFill="1" applyBorder="1"/>
    <xf numFmtId="0" fontId="10" fillId="5" borderId="5" xfId="74" applyFont="1" applyFill="1" applyBorder="1"/>
    <xf numFmtId="0" fontId="9" fillId="5" borderId="10" xfId="74" applyFont="1" applyFill="1" applyBorder="1"/>
    <xf numFmtId="0" fontId="10" fillId="5" borderId="11" xfId="74" applyFont="1" applyFill="1" applyBorder="1"/>
    <xf numFmtId="0" fontId="10" fillId="0" borderId="0" xfId="74" applyFont="1"/>
    <xf numFmtId="0" fontId="11" fillId="8" borderId="0" xfId="92" applyFont="1" applyFill="1"/>
    <xf numFmtId="0" fontId="11" fillId="9" borderId="0" xfId="92" applyFont="1" applyFill="1"/>
    <xf numFmtId="0" fontId="11" fillId="10" borderId="0" xfId="92" applyFont="1" applyFill="1"/>
    <xf numFmtId="0" fontId="11" fillId="38" borderId="0" xfId="92" applyFont="1" applyFill="1"/>
    <xf numFmtId="0" fontId="11" fillId="39" borderId="0" xfId="92" applyFont="1" applyFill="1"/>
    <xf numFmtId="14" fontId="10" fillId="0" borderId="0" xfId="74" applyNumberFormat="1" applyFont="1"/>
    <xf numFmtId="166" fontId="2" fillId="0" borderId="0" xfId="74" applyNumberFormat="1"/>
    <xf numFmtId="0" fontId="10" fillId="0" borderId="0" xfId="88" applyFont="1"/>
    <xf numFmtId="0" fontId="2" fillId="0" borderId="0" xfId="88"/>
    <xf numFmtId="0" fontId="12" fillId="0" borderId="0" xfId="88" applyFont="1"/>
    <xf numFmtId="0" fontId="13" fillId="0" borderId="0" xfId="88" applyFont="1"/>
    <xf numFmtId="0" fontId="2" fillId="0" borderId="17" xfId="88" applyBorder="1"/>
    <xf numFmtId="0" fontId="2" fillId="0" borderId="18" xfId="88" applyBorder="1"/>
    <xf numFmtId="0" fontId="2" fillId="0" borderId="19" xfId="88" applyBorder="1"/>
    <xf numFmtId="0" fontId="2" fillId="0" borderId="20" xfId="88" applyBorder="1"/>
    <xf numFmtId="0" fontId="2" fillId="0" borderId="0" xfId="88" applyBorder="1" applyAlignment="1">
      <alignment horizontal="right"/>
    </xf>
    <xf numFmtId="0" fontId="2" fillId="0" borderId="0" xfId="88" applyBorder="1"/>
    <xf numFmtId="0" fontId="2" fillId="0" borderId="21" xfId="88" applyBorder="1"/>
    <xf numFmtId="0" fontId="14" fillId="0" borderId="21" xfId="88" applyFont="1" applyBorder="1" applyAlignment="1">
      <alignment horizontal="center"/>
    </xf>
    <xf numFmtId="166" fontId="2" fillId="0" borderId="0" xfId="74" applyNumberFormat="1" applyAlignment="1">
      <alignment horizontal="left"/>
    </xf>
    <xf numFmtId="166" fontId="2" fillId="0" borderId="21" xfId="88" applyNumberFormat="1" applyBorder="1" applyAlignment="1">
      <alignment horizontal="center"/>
    </xf>
    <xf numFmtId="0" fontId="2" fillId="0" borderId="21" xfId="88" applyBorder="1" applyAlignment="1">
      <alignment horizontal="center"/>
    </xf>
    <xf numFmtId="14" fontId="10" fillId="0" borderId="0" xfId="74" applyNumberFormat="1" applyFont="1" applyAlignment="1">
      <alignment horizontal="right"/>
    </xf>
    <xf numFmtId="0" fontId="10" fillId="4" borderId="0" xfId="88" applyFont="1" applyFill="1" applyBorder="1" applyAlignment="1">
      <alignment horizontal="right"/>
    </xf>
    <xf numFmtId="0" fontId="2" fillId="0" borderId="22" xfId="88" applyBorder="1"/>
    <xf numFmtId="0" fontId="2" fillId="0" borderId="7" xfId="88" applyBorder="1"/>
    <xf numFmtId="0" fontId="2" fillId="0" borderId="23" xfId="88" applyBorder="1"/>
    <xf numFmtId="10" fontId="48" fillId="0" borderId="10" xfId="102" applyNumberFormat="1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right"/>
    </xf>
    <xf numFmtId="0" fontId="38" fillId="2" borderId="1" xfId="2" applyFont="1" applyFill="1" applyBorder="1" applyAlignment="1">
      <alignment horizontal="center"/>
    </xf>
    <xf numFmtId="0" fontId="38" fillId="2" borderId="2" xfId="2" applyFont="1" applyFill="1" applyBorder="1" applyAlignment="1">
      <alignment horizontal="center"/>
    </xf>
    <xf numFmtId="0" fontId="38" fillId="2" borderId="3" xfId="2" applyFont="1" applyFill="1" applyBorder="1" applyAlignment="1">
      <alignment horizontal="center"/>
    </xf>
    <xf numFmtId="0" fontId="37" fillId="7" borderId="0" xfId="0" applyFont="1" applyFill="1" applyAlignment="1">
      <alignment horizontal="center"/>
    </xf>
    <xf numFmtId="0" fontId="4" fillId="7" borderId="3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1" fillId="2" borderId="1" xfId="2" applyFont="1" applyFill="1" applyBorder="1" applyAlignment="1">
      <alignment horizontal="center"/>
    </xf>
    <xf numFmtId="0" fontId="41" fillId="2" borderId="2" xfId="2" applyFont="1" applyFill="1" applyBorder="1" applyAlignment="1">
      <alignment horizontal="center"/>
    </xf>
    <xf numFmtId="0" fontId="41" fillId="2" borderId="3" xfId="2" applyFont="1" applyFill="1" applyBorder="1" applyAlignment="1">
      <alignment horizontal="center"/>
    </xf>
    <xf numFmtId="164" fontId="47" fillId="0" borderId="1" xfId="0" applyNumberFormat="1" applyFont="1" applyBorder="1" applyAlignment="1">
      <alignment horizontal="center"/>
    </xf>
    <xf numFmtId="164" fontId="47" fillId="0" borderId="2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33" borderId="34" xfId="0" applyFont="1" applyFill="1" applyBorder="1" applyAlignment="1">
      <alignment horizontal="center" vertical="center" wrapText="1"/>
    </xf>
    <xf numFmtId="0" fontId="42" fillId="33" borderId="16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/>
    </xf>
    <xf numFmtId="0" fontId="42" fillId="0" borderId="41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7" fillId="5" borderId="15" xfId="3" applyFont="1" applyFill="1" applyBorder="1" applyAlignment="1">
      <alignment horizontal="left"/>
    </xf>
    <xf numFmtId="0" fontId="7" fillId="5" borderId="16" xfId="3" applyFont="1" applyFill="1" applyBorder="1" applyAlignment="1">
      <alignment horizontal="left"/>
    </xf>
    <xf numFmtId="0" fontId="8" fillId="5" borderId="0" xfId="3" applyFont="1" applyFill="1" applyBorder="1" applyAlignment="1">
      <alignment horizontal="left"/>
    </xf>
    <xf numFmtId="0" fontId="8" fillId="5" borderId="5" xfId="3" applyFont="1" applyFill="1" applyBorder="1" applyAlignment="1">
      <alignment horizontal="left"/>
    </xf>
    <xf numFmtId="0" fontId="9" fillId="5" borderId="10" xfId="3" applyFont="1" applyFill="1" applyBorder="1" applyAlignment="1">
      <alignment horizontal="left"/>
    </xf>
    <xf numFmtId="0" fontId="9" fillId="5" borderId="11" xfId="3" applyFont="1" applyFill="1" applyBorder="1" applyAlignment="1">
      <alignment horizontal="left"/>
    </xf>
  </cellXfs>
  <cellStyles count="117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 2" xfId="35"/>
    <cellStyle name="Comma 2 2" xfId="36"/>
    <cellStyle name="Comma 3" xfId="37"/>
    <cellStyle name="Comma 3 2" xfId="38"/>
    <cellStyle name="Comma 3 3" xfId="39"/>
    <cellStyle name="Comma 4" xfId="40"/>
    <cellStyle name="Comma 4 2" xfId="41"/>
    <cellStyle name="Comma 5" xfId="42"/>
    <cellStyle name="Comma 6" xfId="43"/>
    <cellStyle name="Comma 6 2" xfId="44"/>
    <cellStyle name="Comma 7" xfId="45"/>
    <cellStyle name="Comma 8" xfId="46"/>
    <cellStyle name="Currency" xfId="116" builtinId="4"/>
    <cellStyle name="Currency 2" xfId="47"/>
    <cellStyle name="Currency 2 2" xfId="48"/>
    <cellStyle name="Currency 2 3" xfId="49"/>
    <cellStyle name="Currency 2 4" xfId="50"/>
    <cellStyle name="Currency 3" xfId="51"/>
    <cellStyle name="Currency 3 2" xfId="52"/>
    <cellStyle name="Currency 3 3" xfId="53"/>
    <cellStyle name="Currency 4" xfId="54"/>
    <cellStyle name="Currency 4 2" xfId="55"/>
    <cellStyle name="Currency 4 2 2" xfId="56"/>
    <cellStyle name="Currency 4 3" xfId="57"/>
    <cellStyle name="Currency 4 4" xfId="58"/>
    <cellStyle name="Currency 5" xfId="59"/>
    <cellStyle name="Currency 5 2" xfId="60"/>
    <cellStyle name="Currency 5 3" xfId="61"/>
    <cellStyle name="Currency 6" xfId="62"/>
    <cellStyle name="Currency 7" xfId="63"/>
    <cellStyle name="Currency 8" xfId="64"/>
    <cellStyle name="Explanatory Text 2" xfId="65"/>
    <cellStyle name="Good 2" xfId="66"/>
    <cellStyle name="Heading 1 2" xfId="67"/>
    <cellStyle name="Heading 2 2" xfId="68"/>
    <cellStyle name="Heading 3 2" xfId="69"/>
    <cellStyle name="Heading 4 2" xfId="70"/>
    <cellStyle name="Input 2" xfId="71"/>
    <cellStyle name="Linked Cell 2" xfId="72"/>
    <cellStyle name="Neutral 2" xfId="73"/>
    <cellStyle name="Normal" xfId="0" builtinId="0"/>
    <cellStyle name="Normal 10" xfId="74"/>
    <cellStyle name="Normal 11" xfId="75"/>
    <cellStyle name="Normal 12" xfId="76"/>
    <cellStyle name="Normal 13" xfId="77"/>
    <cellStyle name="Normal 14" xfId="78"/>
    <cellStyle name="Normal 2" xfId="79"/>
    <cellStyle name="Normal 2 2" xfId="6"/>
    <cellStyle name="Normal 2 2 2" xfId="80"/>
    <cellStyle name="Normal 2 3" xfId="81"/>
    <cellStyle name="Normal 2 4" xfId="82"/>
    <cellStyle name="Normal 3" xfId="2"/>
    <cellStyle name="Normal 3 2" xfId="83"/>
    <cellStyle name="Normal 3 3" xfId="84"/>
    <cellStyle name="Normal 3 4" xfId="85"/>
    <cellStyle name="Normal 3 5" xfId="86"/>
    <cellStyle name="Normal 4" xfId="87"/>
    <cellStyle name="Normal 4 2" xfId="5"/>
    <cellStyle name="Normal 4 2 2" xfId="88"/>
    <cellStyle name="Normal 4 3" xfId="89"/>
    <cellStyle name="Normal 5" xfId="90"/>
    <cellStyle name="Normal 5 2" xfId="91"/>
    <cellStyle name="Normal 6" xfId="3"/>
    <cellStyle name="Normal 6 2" xfId="4"/>
    <cellStyle name="Normal 6 2 2" xfId="92"/>
    <cellStyle name="Normal 6 3" xfId="93"/>
    <cellStyle name="Normal 7" xfId="94"/>
    <cellStyle name="Normal 7 2" xfId="95"/>
    <cellStyle name="Normal 8" xfId="96"/>
    <cellStyle name="Normal 9" xfId="97"/>
    <cellStyle name="Note 2" xfId="98"/>
    <cellStyle name="Output 2" xfId="99"/>
    <cellStyle name="Percent" xfId="1" builtinId="5"/>
    <cellStyle name="Percent 2" xfId="7"/>
    <cellStyle name="Percent 2 2" xfId="100"/>
    <cellStyle name="Percent 3" xfId="101"/>
    <cellStyle name="Percent 3 2" xfId="102"/>
    <cellStyle name="Percent 4" xfId="103"/>
    <cellStyle name="Percent 4 2" xfId="104"/>
    <cellStyle name="Percent 5" xfId="105"/>
    <cellStyle name="Percent 5 2" xfId="106"/>
    <cellStyle name="Percent 6" xfId="107"/>
    <cellStyle name="Percent 6 2" xfId="108"/>
    <cellStyle name="Percent 6 3" xfId="109"/>
    <cellStyle name="Percent 7" xfId="110"/>
    <cellStyle name="Percent 8" xfId="111"/>
    <cellStyle name="Percent 9" xfId="112"/>
    <cellStyle name="Title 2" xfId="113"/>
    <cellStyle name="Total 2" xfId="114"/>
    <cellStyle name="Warning Text 2" xfId="115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69</xdr:col>
      <xdr:colOff>251460</xdr:colOff>
      <xdr:row>16</xdr:row>
      <xdr:rowOff>152400</xdr:rowOff>
    </xdr:from>
    <xdr:ext cx="4541520" cy="2847959"/>
    <xdr:sp macro="" textlink="">
      <xdr:nvSpPr>
        <xdr:cNvPr id="2" name="TextBox 1"/>
        <xdr:cNvSpPr txBox="1"/>
      </xdr:nvSpPr>
      <xdr:spPr>
        <a:xfrm>
          <a:off x="39707820" y="2933700"/>
          <a:ext cx="4541520" cy="2847959"/>
        </a:xfrm>
        <a:prstGeom prst="rect">
          <a:avLst/>
        </a:prstGeom>
        <a:noFill/>
        <a:ln cmpd="sng">
          <a:solidFill>
            <a:schemeClr val="tx1">
              <a:alpha val="72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1.18.19</a:t>
          </a:r>
          <a:r>
            <a:rPr lang="en-US" sz="11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Kara</a:t>
          </a:r>
          <a:endParaRPr lang="en-US">
            <a:effectLst/>
          </a:endParaRPr>
        </a:p>
        <a:p>
          <a:r>
            <a:rPr lang="en-US" sz="1100"/>
            <a:t>Current</a:t>
          </a:r>
          <a:r>
            <a:rPr lang="en-US" sz="1100" baseline="0"/>
            <a:t> rate runs from 1/1/18 - 12/31/19</a:t>
          </a:r>
        </a:p>
        <a:p>
          <a:r>
            <a:rPr lang="en-US" sz="1100" baseline="0"/>
            <a:t>By pushing rate review back to 7/1/19 to align with a Fiscal Year:</a:t>
          </a:r>
        </a:p>
        <a:p>
          <a:endParaRPr lang="en-US" sz="1100" baseline="0"/>
        </a:p>
        <a:p>
          <a:r>
            <a:rPr lang="en-US" sz="1100" baseline="0"/>
            <a:t>CAF Base period = last effective quarter of most recent rate review - this is </a:t>
          </a:r>
        </a:p>
        <a:p>
          <a:r>
            <a:rPr lang="en-US" sz="1100" baseline="0"/>
            <a:t>either CY2019Q4 or FY2020Q2</a:t>
          </a:r>
        </a:p>
        <a:p>
          <a:endParaRPr lang="en-US" sz="1100" baseline="0"/>
        </a:p>
        <a:p>
          <a:r>
            <a:rPr lang="en-US" sz="1100" baseline="0"/>
            <a:t>CAF Projection period = two years rate is effective - this is FY20 &amp; FY21 </a:t>
          </a:r>
        </a:p>
        <a:p>
          <a:r>
            <a:rPr lang="en-US" sz="1100" baseline="0"/>
            <a:t>aka: CY2019Q3 - CY2021Q2 or FY2020Q1 - FY2021Q4</a:t>
          </a:r>
        </a:p>
        <a:p>
          <a:endParaRPr lang="en-US" sz="1100" baseline="0"/>
        </a:p>
        <a:p>
          <a:r>
            <a:rPr lang="en-US" sz="1100" baseline="0"/>
            <a:t>The version posted to the website showed a CAF of 1.48% which was based on the Spring 2018 CAF report which was obselete once the Fall 2018 became available.  The CAF correction in the SE model workbooks from 1.48% to 1.42% does not affect the rates.  Both the NPH and the Staff Testimony incdicate for both CBDS and SE that the CAF is 1.42%</a:t>
          </a:r>
        </a:p>
        <a:p>
          <a:r>
            <a:rPr lang="en-US" sz="1100" baseline="0"/>
            <a:t>				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Supported%20Employment-CMR%20419/2018%20Rate%20Review/5.%20Final/SE%20Updated%20Models%208-18-17%20FINAL%20Post%20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3168 ISE"/>
      <sheetName val="2. 3181 GSE"/>
      <sheetName val="3. 3181 HI Intnsty"/>
      <sheetName val="4. DC Add-On"/>
      <sheetName val="5. Travel"/>
      <sheetName val="6. 3169 CBWS"/>
      <sheetName val="7. 3169 HI"/>
      <sheetName val="Consultant"/>
      <sheetName val="Mgmt"/>
      <sheetName val="nonspDC"/>
      <sheetName val="SDC"/>
      <sheetName val="8. Rates Chart"/>
      <sheetName val="FY18 CAF"/>
      <sheetName val="PPH Fiscal Impact"/>
      <sheetName val="Spring CAF"/>
      <sheetName val="Rates Summary Post PH"/>
      <sheetName val="T&amp;F"/>
      <sheetName val="Admin"/>
      <sheetName val="CAF"/>
      <sheetName val="Original CAF"/>
      <sheetName val="3168 FY11 ContractData"/>
      <sheetName val="3168 hrspFTE"/>
      <sheetName val="3168 LTD"/>
      <sheetName val="3169 HRS"/>
      <sheetName val="3169 cltsprFTE"/>
      <sheetName val="3169 Per Unit"/>
      <sheetName val="Otlrs Rmvd 3169 &amp; 3181"/>
      <sheetName val="3181 cltsperFTE"/>
      <sheetName val="new EIM 3181"/>
      <sheetName val="Otlrs Rmvd  3181"/>
      <sheetName val="3181 nonspDC"/>
    </sheetNames>
    <sheetDataSet>
      <sheetData sheetId="0">
        <row r="27">
          <cell r="E27">
            <v>12.750177584564776</v>
          </cell>
        </row>
        <row r="54">
          <cell r="C54">
            <v>3.1819062378922902E-2</v>
          </cell>
        </row>
      </sheetData>
      <sheetData sheetId="1">
        <row r="26">
          <cell r="F26">
            <v>3.6611344327404627</v>
          </cell>
        </row>
      </sheetData>
      <sheetData sheetId="2">
        <row r="28">
          <cell r="F28">
            <v>5.4489483449760163</v>
          </cell>
        </row>
      </sheetData>
      <sheetData sheetId="3">
        <row r="8">
          <cell r="I8">
            <v>4.429601238292463</v>
          </cell>
        </row>
        <row r="13">
          <cell r="I13">
            <v>5.6207444036307805</v>
          </cell>
        </row>
      </sheetData>
      <sheetData sheetId="4">
        <row r="6">
          <cell r="G6">
            <v>7.2713951059296216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7">
          <cell r="BK27">
            <v>2.7235921972764018E-2</v>
          </cell>
        </row>
      </sheetData>
      <sheetData sheetId="15" refreshError="1"/>
      <sheetData sheetId="16">
        <row r="287">
          <cell r="G287">
            <v>0.2299997757370244</v>
          </cell>
        </row>
      </sheetData>
      <sheetData sheetId="17" refreshError="1"/>
      <sheetData sheetId="18" refreshError="1"/>
      <sheetData sheetId="19" refreshError="1"/>
      <sheetData sheetId="20">
        <row r="132">
          <cell r="DV132">
            <v>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54">
          <cell r="DE154">
            <v>3250.7357258064508</v>
          </cell>
        </row>
      </sheetData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7"/>
  <sheetViews>
    <sheetView tabSelected="1" topLeftCell="CA1" zoomScaleNormal="100" workbookViewId="0">
      <selection activeCell="CO31" sqref="CO31"/>
    </sheetView>
  </sheetViews>
  <sheetFormatPr defaultRowHeight="12.75"/>
  <cols>
    <col min="1" max="1" width="38.42578125" style="298" customWidth="1"/>
    <col min="2" max="2" width="12.85546875" style="303" customWidth="1"/>
    <col min="3" max="58" width="7.7109375" style="298" customWidth="1"/>
    <col min="59" max="59" width="13" style="298" customWidth="1"/>
    <col min="60" max="60" width="8.42578125" style="298" customWidth="1"/>
    <col min="61" max="61" width="8.140625" style="298" customWidth="1"/>
    <col min="62" max="67" width="8.140625" style="298" bestFit="1" customWidth="1"/>
    <col min="68" max="68" width="16.42578125" style="298" customWidth="1"/>
    <col min="69" max="69" width="9" style="298" bestFit="1" customWidth="1"/>
    <col min="70" max="82" width="7.7109375" style="298" customWidth="1"/>
    <col min="83" max="256" width="8.85546875" style="298"/>
    <col min="257" max="257" width="38.42578125" style="298" customWidth="1"/>
    <col min="258" max="258" width="12.85546875" style="298" customWidth="1"/>
    <col min="259" max="314" width="7.7109375" style="298" customWidth="1"/>
    <col min="315" max="315" width="13" style="298" customWidth="1"/>
    <col min="316" max="316" width="8.42578125" style="298" customWidth="1"/>
    <col min="317" max="317" width="8.140625" style="298" customWidth="1"/>
    <col min="318" max="323" width="8.140625" style="298" bestFit="1" customWidth="1"/>
    <col min="324" max="324" width="7.42578125" style="298" bestFit="1" customWidth="1"/>
    <col min="325" max="325" width="9" style="298" bestFit="1" customWidth="1"/>
    <col min="326" max="338" width="7.7109375" style="298" customWidth="1"/>
    <col min="339" max="512" width="8.85546875" style="298"/>
    <col min="513" max="513" width="38.42578125" style="298" customWidth="1"/>
    <col min="514" max="514" width="12.85546875" style="298" customWidth="1"/>
    <col min="515" max="570" width="7.7109375" style="298" customWidth="1"/>
    <col min="571" max="571" width="13" style="298" customWidth="1"/>
    <col min="572" max="572" width="8.42578125" style="298" customWidth="1"/>
    <col min="573" max="573" width="8.140625" style="298" customWidth="1"/>
    <col min="574" max="579" width="8.140625" style="298" bestFit="1" customWidth="1"/>
    <col min="580" max="580" width="7.42578125" style="298" bestFit="1" customWidth="1"/>
    <col min="581" max="581" width="9" style="298" bestFit="1" customWidth="1"/>
    <col min="582" max="594" width="7.7109375" style="298" customWidth="1"/>
    <col min="595" max="768" width="8.85546875" style="298"/>
    <col min="769" max="769" width="38.42578125" style="298" customWidth="1"/>
    <col min="770" max="770" width="12.85546875" style="298" customWidth="1"/>
    <col min="771" max="826" width="7.7109375" style="298" customWidth="1"/>
    <col min="827" max="827" width="13" style="298" customWidth="1"/>
    <col min="828" max="828" width="8.42578125" style="298" customWidth="1"/>
    <col min="829" max="829" width="8.140625" style="298" customWidth="1"/>
    <col min="830" max="835" width="8.140625" style="298" bestFit="1" customWidth="1"/>
    <col min="836" max="836" width="7.42578125" style="298" bestFit="1" customWidth="1"/>
    <col min="837" max="837" width="9" style="298" bestFit="1" customWidth="1"/>
    <col min="838" max="850" width="7.7109375" style="298" customWidth="1"/>
    <col min="851" max="1024" width="8.85546875" style="298"/>
    <col min="1025" max="1025" width="38.42578125" style="298" customWidth="1"/>
    <col min="1026" max="1026" width="12.85546875" style="298" customWidth="1"/>
    <col min="1027" max="1082" width="7.7109375" style="298" customWidth="1"/>
    <col min="1083" max="1083" width="13" style="298" customWidth="1"/>
    <col min="1084" max="1084" width="8.42578125" style="298" customWidth="1"/>
    <col min="1085" max="1085" width="8.140625" style="298" customWidth="1"/>
    <col min="1086" max="1091" width="8.140625" style="298" bestFit="1" customWidth="1"/>
    <col min="1092" max="1092" width="7.42578125" style="298" bestFit="1" customWidth="1"/>
    <col min="1093" max="1093" width="9" style="298" bestFit="1" customWidth="1"/>
    <col min="1094" max="1106" width="7.7109375" style="298" customWidth="1"/>
    <col min="1107" max="1280" width="8.85546875" style="298"/>
    <col min="1281" max="1281" width="38.42578125" style="298" customWidth="1"/>
    <col min="1282" max="1282" width="12.85546875" style="298" customWidth="1"/>
    <col min="1283" max="1338" width="7.7109375" style="298" customWidth="1"/>
    <col min="1339" max="1339" width="13" style="298" customWidth="1"/>
    <col min="1340" max="1340" width="8.42578125" style="298" customWidth="1"/>
    <col min="1341" max="1341" width="8.140625" style="298" customWidth="1"/>
    <col min="1342" max="1347" width="8.140625" style="298" bestFit="1" customWidth="1"/>
    <col min="1348" max="1348" width="7.42578125" style="298" bestFit="1" customWidth="1"/>
    <col min="1349" max="1349" width="9" style="298" bestFit="1" customWidth="1"/>
    <col min="1350" max="1362" width="7.7109375" style="298" customWidth="1"/>
    <col min="1363" max="1536" width="8.85546875" style="298"/>
    <col min="1537" max="1537" width="38.42578125" style="298" customWidth="1"/>
    <col min="1538" max="1538" width="12.85546875" style="298" customWidth="1"/>
    <col min="1539" max="1594" width="7.7109375" style="298" customWidth="1"/>
    <col min="1595" max="1595" width="13" style="298" customWidth="1"/>
    <col min="1596" max="1596" width="8.42578125" style="298" customWidth="1"/>
    <col min="1597" max="1597" width="8.140625" style="298" customWidth="1"/>
    <col min="1598" max="1603" width="8.140625" style="298" bestFit="1" customWidth="1"/>
    <col min="1604" max="1604" width="7.42578125" style="298" bestFit="1" customWidth="1"/>
    <col min="1605" max="1605" width="9" style="298" bestFit="1" customWidth="1"/>
    <col min="1606" max="1618" width="7.7109375" style="298" customWidth="1"/>
    <col min="1619" max="1792" width="8.85546875" style="298"/>
    <col min="1793" max="1793" width="38.42578125" style="298" customWidth="1"/>
    <col min="1794" max="1794" width="12.85546875" style="298" customWidth="1"/>
    <col min="1795" max="1850" width="7.7109375" style="298" customWidth="1"/>
    <col min="1851" max="1851" width="13" style="298" customWidth="1"/>
    <col min="1852" max="1852" width="8.42578125" style="298" customWidth="1"/>
    <col min="1853" max="1853" width="8.140625" style="298" customWidth="1"/>
    <col min="1854" max="1859" width="8.140625" style="298" bestFit="1" customWidth="1"/>
    <col min="1860" max="1860" width="7.42578125" style="298" bestFit="1" customWidth="1"/>
    <col min="1861" max="1861" width="9" style="298" bestFit="1" customWidth="1"/>
    <col min="1862" max="1874" width="7.7109375" style="298" customWidth="1"/>
    <col min="1875" max="2048" width="8.85546875" style="298"/>
    <col min="2049" max="2049" width="38.42578125" style="298" customWidth="1"/>
    <col min="2050" max="2050" width="12.85546875" style="298" customWidth="1"/>
    <col min="2051" max="2106" width="7.7109375" style="298" customWidth="1"/>
    <col min="2107" max="2107" width="13" style="298" customWidth="1"/>
    <col min="2108" max="2108" width="8.42578125" style="298" customWidth="1"/>
    <col min="2109" max="2109" width="8.140625" style="298" customWidth="1"/>
    <col min="2110" max="2115" width="8.140625" style="298" bestFit="1" customWidth="1"/>
    <col min="2116" max="2116" width="7.42578125" style="298" bestFit="1" customWidth="1"/>
    <col min="2117" max="2117" width="9" style="298" bestFit="1" customWidth="1"/>
    <col min="2118" max="2130" width="7.7109375" style="298" customWidth="1"/>
    <col min="2131" max="2304" width="8.85546875" style="298"/>
    <col min="2305" max="2305" width="38.42578125" style="298" customWidth="1"/>
    <col min="2306" max="2306" width="12.85546875" style="298" customWidth="1"/>
    <col min="2307" max="2362" width="7.7109375" style="298" customWidth="1"/>
    <col min="2363" max="2363" width="13" style="298" customWidth="1"/>
    <col min="2364" max="2364" width="8.42578125" style="298" customWidth="1"/>
    <col min="2365" max="2365" width="8.140625" style="298" customWidth="1"/>
    <col min="2366" max="2371" width="8.140625" style="298" bestFit="1" customWidth="1"/>
    <col min="2372" max="2372" width="7.42578125" style="298" bestFit="1" customWidth="1"/>
    <col min="2373" max="2373" width="9" style="298" bestFit="1" customWidth="1"/>
    <col min="2374" max="2386" width="7.7109375" style="298" customWidth="1"/>
    <col min="2387" max="2560" width="8.85546875" style="298"/>
    <col min="2561" max="2561" width="38.42578125" style="298" customWidth="1"/>
    <col min="2562" max="2562" width="12.85546875" style="298" customWidth="1"/>
    <col min="2563" max="2618" width="7.7109375" style="298" customWidth="1"/>
    <col min="2619" max="2619" width="13" style="298" customWidth="1"/>
    <col min="2620" max="2620" width="8.42578125" style="298" customWidth="1"/>
    <col min="2621" max="2621" width="8.140625" style="298" customWidth="1"/>
    <col min="2622" max="2627" width="8.140625" style="298" bestFit="1" customWidth="1"/>
    <col min="2628" max="2628" width="7.42578125" style="298" bestFit="1" customWidth="1"/>
    <col min="2629" max="2629" width="9" style="298" bestFit="1" customWidth="1"/>
    <col min="2630" max="2642" width="7.7109375" style="298" customWidth="1"/>
    <col min="2643" max="2816" width="8.85546875" style="298"/>
    <col min="2817" max="2817" width="38.42578125" style="298" customWidth="1"/>
    <col min="2818" max="2818" width="12.85546875" style="298" customWidth="1"/>
    <col min="2819" max="2874" width="7.7109375" style="298" customWidth="1"/>
    <col min="2875" max="2875" width="13" style="298" customWidth="1"/>
    <col min="2876" max="2876" width="8.42578125" style="298" customWidth="1"/>
    <col min="2877" max="2877" width="8.140625" style="298" customWidth="1"/>
    <col min="2878" max="2883" width="8.140625" style="298" bestFit="1" customWidth="1"/>
    <col min="2884" max="2884" width="7.42578125" style="298" bestFit="1" customWidth="1"/>
    <col min="2885" max="2885" width="9" style="298" bestFit="1" customWidth="1"/>
    <col min="2886" max="2898" width="7.7109375" style="298" customWidth="1"/>
    <col min="2899" max="3072" width="8.85546875" style="298"/>
    <col min="3073" max="3073" width="38.42578125" style="298" customWidth="1"/>
    <col min="3074" max="3074" width="12.85546875" style="298" customWidth="1"/>
    <col min="3075" max="3130" width="7.7109375" style="298" customWidth="1"/>
    <col min="3131" max="3131" width="13" style="298" customWidth="1"/>
    <col min="3132" max="3132" width="8.42578125" style="298" customWidth="1"/>
    <col min="3133" max="3133" width="8.140625" style="298" customWidth="1"/>
    <col min="3134" max="3139" width="8.140625" style="298" bestFit="1" customWidth="1"/>
    <col min="3140" max="3140" width="7.42578125" style="298" bestFit="1" customWidth="1"/>
    <col min="3141" max="3141" width="9" style="298" bestFit="1" customWidth="1"/>
    <col min="3142" max="3154" width="7.7109375" style="298" customWidth="1"/>
    <col min="3155" max="3328" width="8.85546875" style="298"/>
    <col min="3329" max="3329" width="38.42578125" style="298" customWidth="1"/>
    <col min="3330" max="3330" width="12.85546875" style="298" customWidth="1"/>
    <col min="3331" max="3386" width="7.7109375" style="298" customWidth="1"/>
    <col min="3387" max="3387" width="13" style="298" customWidth="1"/>
    <col min="3388" max="3388" width="8.42578125" style="298" customWidth="1"/>
    <col min="3389" max="3389" width="8.140625" style="298" customWidth="1"/>
    <col min="3390" max="3395" width="8.140625" style="298" bestFit="1" customWidth="1"/>
    <col min="3396" max="3396" width="7.42578125" style="298" bestFit="1" customWidth="1"/>
    <col min="3397" max="3397" width="9" style="298" bestFit="1" customWidth="1"/>
    <col min="3398" max="3410" width="7.7109375" style="298" customWidth="1"/>
    <col min="3411" max="3584" width="8.85546875" style="298"/>
    <col min="3585" max="3585" width="38.42578125" style="298" customWidth="1"/>
    <col min="3586" max="3586" width="12.85546875" style="298" customWidth="1"/>
    <col min="3587" max="3642" width="7.7109375" style="298" customWidth="1"/>
    <col min="3643" max="3643" width="13" style="298" customWidth="1"/>
    <col min="3644" max="3644" width="8.42578125" style="298" customWidth="1"/>
    <col min="3645" max="3645" width="8.140625" style="298" customWidth="1"/>
    <col min="3646" max="3651" width="8.140625" style="298" bestFit="1" customWidth="1"/>
    <col min="3652" max="3652" width="7.42578125" style="298" bestFit="1" customWidth="1"/>
    <col min="3653" max="3653" width="9" style="298" bestFit="1" customWidth="1"/>
    <col min="3654" max="3666" width="7.7109375" style="298" customWidth="1"/>
    <col min="3667" max="3840" width="8.85546875" style="298"/>
    <col min="3841" max="3841" width="38.42578125" style="298" customWidth="1"/>
    <col min="3842" max="3842" width="12.85546875" style="298" customWidth="1"/>
    <col min="3843" max="3898" width="7.7109375" style="298" customWidth="1"/>
    <col min="3899" max="3899" width="13" style="298" customWidth="1"/>
    <col min="3900" max="3900" width="8.42578125" style="298" customWidth="1"/>
    <col min="3901" max="3901" width="8.140625" style="298" customWidth="1"/>
    <col min="3902" max="3907" width="8.140625" style="298" bestFit="1" customWidth="1"/>
    <col min="3908" max="3908" width="7.42578125" style="298" bestFit="1" customWidth="1"/>
    <col min="3909" max="3909" width="9" style="298" bestFit="1" customWidth="1"/>
    <col min="3910" max="3922" width="7.7109375" style="298" customWidth="1"/>
    <col min="3923" max="4096" width="8.85546875" style="298"/>
    <col min="4097" max="4097" width="38.42578125" style="298" customWidth="1"/>
    <col min="4098" max="4098" width="12.85546875" style="298" customWidth="1"/>
    <col min="4099" max="4154" width="7.7109375" style="298" customWidth="1"/>
    <col min="4155" max="4155" width="13" style="298" customWidth="1"/>
    <col min="4156" max="4156" width="8.42578125" style="298" customWidth="1"/>
    <col min="4157" max="4157" width="8.140625" style="298" customWidth="1"/>
    <col min="4158" max="4163" width="8.140625" style="298" bestFit="1" customWidth="1"/>
    <col min="4164" max="4164" width="7.42578125" style="298" bestFit="1" customWidth="1"/>
    <col min="4165" max="4165" width="9" style="298" bestFit="1" customWidth="1"/>
    <col min="4166" max="4178" width="7.7109375" style="298" customWidth="1"/>
    <col min="4179" max="4352" width="8.85546875" style="298"/>
    <col min="4353" max="4353" width="38.42578125" style="298" customWidth="1"/>
    <col min="4354" max="4354" width="12.85546875" style="298" customWidth="1"/>
    <col min="4355" max="4410" width="7.7109375" style="298" customWidth="1"/>
    <col min="4411" max="4411" width="13" style="298" customWidth="1"/>
    <col min="4412" max="4412" width="8.42578125" style="298" customWidth="1"/>
    <col min="4413" max="4413" width="8.140625" style="298" customWidth="1"/>
    <col min="4414" max="4419" width="8.140625" style="298" bestFit="1" customWidth="1"/>
    <col min="4420" max="4420" width="7.42578125" style="298" bestFit="1" customWidth="1"/>
    <col min="4421" max="4421" width="9" style="298" bestFit="1" customWidth="1"/>
    <col min="4422" max="4434" width="7.7109375" style="298" customWidth="1"/>
    <col min="4435" max="4608" width="8.85546875" style="298"/>
    <col min="4609" max="4609" width="38.42578125" style="298" customWidth="1"/>
    <col min="4610" max="4610" width="12.85546875" style="298" customWidth="1"/>
    <col min="4611" max="4666" width="7.7109375" style="298" customWidth="1"/>
    <col min="4667" max="4667" width="13" style="298" customWidth="1"/>
    <col min="4668" max="4668" width="8.42578125" style="298" customWidth="1"/>
    <col min="4669" max="4669" width="8.140625" style="298" customWidth="1"/>
    <col min="4670" max="4675" width="8.140625" style="298" bestFit="1" customWidth="1"/>
    <col min="4676" max="4676" width="7.42578125" style="298" bestFit="1" customWidth="1"/>
    <col min="4677" max="4677" width="9" style="298" bestFit="1" customWidth="1"/>
    <col min="4678" max="4690" width="7.7109375" style="298" customWidth="1"/>
    <col min="4691" max="4864" width="8.85546875" style="298"/>
    <col min="4865" max="4865" width="38.42578125" style="298" customWidth="1"/>
    <col min="4866" max="4866" width="12.85546875" style="298" customWidth="1"/>
    <col min="4867" max="4922" width="7.7109375" style="298" customWidth="1"/>
    <col min="4923" max="4923" width="13" style="298" customWidth="1"/>
    <col min="4924" max="4924" width="8.42578125" style="298" customWidth="1"/>
    <col min="4925" max="4925" width="8.140625" style="298" customWidth="1"/>
    <col min="4926" max="4931" width="8.140625" style="298" bestFit="1" customWidth="1"/>
    <col min="4932" max="4932" width="7.42578125" style="298" bestFit="1" customWidth="1"/>
    <col min="4933" max="4933" width="9" style="298" bestFit="1" customWidth="1"/>
    <col min="4934" max="4946" width="7.7109375" style="298" customWidth="1"/>
    <col min="4947" max="5120" width="8.85546875" style="298"/>
    <col min="5121" max="5121" width="38.42578125" style="298" customWidth="1"/>
    <col min="5122" max="5122" width="12.85546875" style="298" customWidth="1"/>
    <col min="5123" max="5178" width="7.7109375" style="298" customWidth="1"/>
    <col min="5179" max="5179" width="13" style="298" customWidth="1"/>
    <col min="5180" max="5180" width="8.42578125" style="298" customWidth="1"/>
    <col min="5181" max="5181" width="8.140625" style="298" customWidth="1"/>
    <col min="5182" max="5187" width="8.140625" style="298" bestFit="1" customWidth="1"/>
    <col min="5188" max="5188" width="7.42578125" style="298" bestFit="1" customWidth="1"/>
    <col min="5189" max="5189" width="9" style="298" bestFit="1" customWidth="1"/>
    <col min="5190" max="5202" width="7.7109375" style="298" customWidth="1"/>
    <col min="5203" max="5376" width="8.85546875" style="298"/>
    <col min="5377" max="5377" width="38.42578125" style="298" customWidth="1"/>
    <col min="5378" max="5378" width="12.85546875" style="298" customWidth="1"/>
    <col min="5379" max="5434" width="7.7109375" style="298" customWidth="1"/>
    <col min="5435" max="5435" width="13" style="298" customWidth="1"/>
    <col min="5436" max="5436" width="8.42578125" style="298" customWidth="1"/>
    <col min="5437" max="5437" width="8.140625" style="298" customWidth="1"/>
    <col min="5438" max="5443" width="8.140625" style="298" bestFit="1" customWidth="1"/>
    <col min="5444" max="5444" width="7.42578125" style="298" bestFit="1" customWidth="1"/>
    <col min="5445" max="5445" width="9" style="298" bestFit="1" customWidth="1"/>
    <col min="5446" max="5458" width="7.7109375" style="298" customWidth="1"/>
    <col min="5459" max="5632" width="8.85546875" style="298"/>
    <col min="5633" max="5633" width="38.42578125" style="298" customWidth="1"/>
    <col min="5634" max="5634" width="12.85546875" style="298" customWidth="1"/>
    <col min="5635" max="5690" width="7.7109375" style="298" customWidth="1"/>
    <col min="5691" max="5691" width="13" style="298" customWidth="1"/>
    <col min="5692" max="5692" width="8.42578125" style="298" customWidth="1"/>
    <col min="5693" max="5693" width="8.140625" style="298" customWidth="1"/>
    <col min="5694" max="5699" width="8.140625" style="298" bestFit="1" customWidth="1"/>
    <col min="5700" max="5700" width="7.42578125" style="298" bestFit="1" customWidth="1"/>
    <col min="5701" max="5701" width="9" style="298" bestFit="1" customWidth="1"/>
    <col min="5702" max="5714" width="7.7109375" style="298" customWidth="1"/>
    <col min="5715" max="5888" width="8.85546875" style="298"/>
    <col min="5889" max="5889" width="38.42578125" style="298" customWidth="1"/>
    <col min="5890" max="5890" width="12.85546875" style="298" customWidth="1"/>
    <col min="5891" max="5946" width="7.7109375" style="298" customWidth="1"/>
    <col min="5947" max="5947" width="13" style="298" customWidth="1"/>
    <col min="5948" max="5948" width="8.42578125" style="298" customWidth="1"/>
    <col min="5949" max="5949" width="8.140625" style="298" customWidth="1"/>
    <col min="5950" max="5955" width="8.140625" style="298" bestFit="1" customWidth="1"/>
    <col min="5956" max="5956" width="7.42578125" style="298" bestFit="1" customWidth="1"/>
    <col min="5957" max="5957" width="9" style="298" bestFit="1" customWidth="1"/>
    <col min="5958" max="5970" width="7.7109375" style="298" customWidth="1"/>
    <col min="5971" max="6144" width="8.85546875" style="298"/>
    <col min="6145" max="6145" width="38.42578125" style="298" customWidth="1"/>
    <col min="6146" max="6146" width="12.85546875" style="298" customWidth="1"/>
    <col min="6147" max="6202" width="7.7109375" style="298" customWidth="1"/>
    <col min="6203" max="6203" width="13" style="298" customWidth="1"/>
    <col min="6204" max="6204" width="8.42578125" style="298" customWidth="1"/>
    <col min="6205" max="6205" width="8.140625" style="298" customWidth="1"/>
    <col min="6206" max="6211" width="8.140625" style="298" bestFit="1" customWidth="1"/>
    <col min="6212" max="6212" width="7.42578125" style="298" bestFit="1" customWidth="1"/>
    <col min="6213" max="6213" width="9" style="298" bestFit="1" customWidth="1"/>
    <col min="6214" max="6226" width="7.7109375" style="298" customWidth="1"/>
    <col min="6227" max="6400" width="8.85546875" style="298"/>
    <col min="6401" max="6401" width="38.42578125" style="298" customWidth="1"/>
    <col min="6402" max="6402" width="12.85546875" style="298" customWidth="1"/>
    <col min="6403" max="6458" width="7.7109375" style="298" customWidth="1"/>
    <col min="6459" max="6459" width="13" style="298" customWidth="1"/>
    <col min="6460" max="6460" width="8.42578125" style="298" customWidth="1"/>
    <col min="6461" max="6461" width="8.140625" style="298" customWidth="1"/>
    <col min="6462" max="6467" width="8.140625" style="298" bestFit="1" customWidth="1"/>
    <col min="6468" max="6468" width="7.42578125" style="298" bestFit="1" customWidth="1"/>
    <col min="6469" max="6469" width="9" style="298" bestFit="1" customWidth="1"/>
    <col min="6470" max="6482" width="7.7109375" style="298" customWidth="1"/>
    <col min="6483" max="6656" width="8.85546875" style="298"/>
    <col min="6657" max="6657" width="38.42578125" style="298" customWidth="1"/>
    <col min="6658" max="6658" width="12.85546875" style="298" customWidth="1"/>
    <col min="6659" max="6714" width="7.7109375" style="298" customWidth="1"/>
    <col min="6715" max="6715" width="13" style="298" customWidth="1"/>
    <col min="6716" max="6716" width="8.42578125" style="298" customWidth="1"/>
    <col min="6717" max="6717" width="8.140625" style="298" customWidth="1"/>
    <col min="6718" max="6723" width="8.140625" style="298" bestFit="1" customWidth="1"/>
    <col min="6724" max="6724" width="7.42578125" style="298" bestFit="1" customWidth="1"/>
    <col min="6725" max="6725" width="9" style="298" bestFit="1" customWidth="1"/>
    <col min="6726" max="6738" width="7.7109375" style="298" customWidth="1"/>
    <col min="6739" max="6912" width="8.85546875" style="298"/>
    <col min="6913" max="6913" width="38.42578125" style="298" customWidth="1"/>
    <col min="6914" max="6914" width="12.85546875" style="298" customWidth="1"/>
    <col min="6915" max="6970" width="7.7109375" style="298" customWidth="1"/>
    <col min="6971" max="6971" width="13" style="298" customWidth="1"/>
    <col min="6972" max="6972" width="8.42578125" style="298" customWidth="1"/>
    <col min="6973" max="6973" width="8.140625" style="298" customWidth="1"/>
    <col min="6974" max="6979" width="8.140625" style="298" bestFit="1" customWidth="1"/>
    <col min="6980" max="6980" width="7.42578125" style="298" bestFit="1" customWidth="1"/>
    <col min="6981" max="6981" width="9" style="298" bestFit="1" customWidth="1"/>
    <col min="6982" max="6994" width="7.7109375" style="298" customWidth="1"/>
    <col min="6995" max="7168" width="8.85546875" style="298"/>
    <col min="7169" max="7169" width="38.42578125" style="298" customWidth="1"/>
    <col min="7170" max="7170" width="12.85546875" style="298" customWidth="1"/>
    <col min="7171" max="7226" width="7.7109375" style="298" customWidth="1"/>
    <col min="7227" max="7227" width="13" style="298" customWidth="1"/>
    <col min="7228" max="7228" width="8.42578125" style="298" customWidth="1"/>
    <col min="7229" max="7229" width="8.140625" style="298" customWidth="1"/>
    <col min="7230" max="7235" width="8.140625" style="298" bestFit="1" customWidth="1"/>
    <col min="7236" max="7236" width="7.42578125" style="298" bestFit="1" customWidth="1"/>
    <col min="7237" max="7237" width="9" style="298" bestFit="1" customWidth="1"/>
    <col min="7238" max="7250" width="7.7109375" style="298" customWidth="1"/>
    <col min="7251" max="7424" width="8.85546875" style="298"/>
    <col min="7425" max="7425" width="38.42578125" style="298" customWidth="1"/>
    <col min="7426" max="7426" width="12.85546875" style="298" customWidth="1"/>
    <col min="7427" max="7482" width="7.7109375" style="298" customWidth="1"/>
    <col min="7483" max="7483" width="13" style="298" customWidth="1"/>
    <col min="7484" max="7484" width="8.42578125" style="298" customWidth="1"/>
    <col min="7485" max="7485" width="8.140625" style="298" customWidth="1"/>
    <col min="7486" max="7491" width="8.140625" style="298" bestFit="1" customWidth="1"/>
    <col min="7492" max="7492" width="7.42578125" style="298" bestFit="1" customWidth="1"/>
    <col min="7493" max="7493" width="9" style="298" bestFit="1" customWidth="1"/>
    <col min="7494" max="7506" width="7.7109375" style="298" customWidth="1"/>
    <col min="7507" max="7680" width="8.85546875" style="298"/>
    <col min="7681" max="7681" width="38.42578125" style="298" customWidth="1"/>
    <col min="7682" max="7682" width="12.85546875" style="298" customWidth="1"/>
    <col min="7683" max="7738" width="7.7109375" style="298" customWidth="1"/>
    <col min="7739" max="7739" width="13" style="298" customWidth="1"/>
    <col min="7740" max="7740" width="8.42578125" style="298" customWidth="1"/>
    <col min="7741" max="7741" width="8.140625" style="298" customWidth="1"/>
    <col min="7742" max="7747" width="8.140625" style="298" bestFit="1" customWidth="1"/>
    <col min="7748" max="7748" width="7.42578125" style="298" bestFit="1" customWidth="1"/>
    <col min="7749" max="7749" width="9" style="298" bestFit="1" customWidth="1"/>
    <col min="7750" max="7762" width="7.7109375" style="298" customWidth="1"/>
    <col min="7763" max="7936" width="8.85546875" style="298"/>
    <col min="7937" max="7937" width="38.42578125" style="298" customWidth="1"/>
    <col min="7938" max="7938" width="12.85546875" style="298" customWidth="1"/>
    <col min="7939" max="7994" width="7.7109375" style="298" customWidth="1"/>
    <col min="7995" max="7995" width="13" style="298" customWidth="1"/>
    <col min="7996" max="7996" width="8.42578125" style="298" customWidth="1"/>
    <col min="7997" max="7997" width="8.140625" style="298" customWidth="1"/>
    <col min="7998" max="8003" width="8.140625" style="298" bestFit="1" customWidth="1"/>
    <col min="8004" max="8004" width="7.42578125" style="298" bestFit="1" customWidth="1"/>
    <col min="8005" max="8005" width="9" style="298" bestFit="1" customWidth="1"/>
    <col min="8006" max="8018" width="7.7109375" style="298" customWidth="1"/>
    <col min="8019" max="8192" width="8.85546875" style="298"/>
    <col min="8193" max="8193" width="38.42578125" style="298" customWidth="1"/>
    <col min="8194" max="8194" width="12.85546875" style="298" customWidth="1"/>
    <col min="8195" max="8250" width="7.7109375" style="298" customWidth="1"/>
    <col min="8251" max="8251" width="13" style="298" customWidth="1"/>
    <col min="8252" max="8252" width="8.42578125" style="298" customWidth="1"/>
    <col min="8253" max="8253" width="8.140625" style="298" customWidth="1"/>
    <col min="8254" max="8259" width="8.140625" style="298" bestFit="1" customWidth="1"/>
    <col min="8260" max="8260" width="7.42578125" style="298" bestFit="1" customWidth="1"/>
    <col min="8261" max="8261" width="9" style="298" bestFit="1" customWidth="1"/>
    <col min="8262" max="8274" width="7.7109375" style="298" customWidth="1"/>
    <col min="8275" max="8448" width="8.85546875" style="298"/>
    <col min="8449" max="8449" width="38.42578125" style="298" customWidth="1"/>
    <col min="8450" max="8450" width="12.85546875" style="298" customWidth="1"/>
    <col min="8451" max="8506" width="7.7109375" style="298" customWidth="1"/>
    <col min="8507" max="8507" width="13" style="298" customWidth="1"/>
    <col min="8508" max="8508" width="8.42578125" style="298" customWidth="1"/>
    <col min="8509" max="8509" width="8.140625" style="298" customWidth="1"/>
    <col min="8510" max="8515" width="8.140625" style="298" bestFit="1" customWidth="1"/>
    <col min="8516" max="8516" width="7.42578125" style="298" bestFit="1" customWidth="1"/>
    <col min="8517" max="8517" width="9" style="298" bestFit="1" customWidth="1"/>
    <col min="8518" max="8530" width="7.7109375" style="298" customWidth="1"/>
    <col min="8531" max="8704" width="8.85546875" style="298"/>
    <col min="8705" max="8705" width="38.42578125" style="298" customWidth="1"/>
    <col min="8706" max="8706" width="12.85546875" style="298" customWidth="1"/>
    <col min="8707" max="8762" width="7.7109375" style="298" customWidth="1"/>
    <col min="8763" max="8763" width="13" style="298" customWidth="1"/>
    <col min="8764" max="8764" width="8.42578125" style="298" customWidth="1"/>
    <col min="8765" max="8765" width="8.140625" style="298" customWidth="1"/>
    <col min="8766" max="8771" width="8.140625" style="298" bestFit="1" customWidth="1"/>
    <col min="8772" max="8772" width="7.42578125" style="298" bestFit="1" customWidth="1"/>
    <col min="8773" max="8773" width="9" style="298" bestFit="1" customWidth="1"/>
    <col min="8774" max="8786" width="7.7109375" style="298" customWidth="1"/>
    <col min="8787" max="8960" width="8.85546875" style="298"/>
    <col min="8961" max="8961" width="38.42578125" style="298" customWidth="1"/>
    <col min="8962" max="8962" width="12.85546875" style="298" customWidth="1"/>
    <col min="8963" max="9018" width="7.7109375" style="298" customWidth="1"/>
    <col min="9019" max="9019" width="13" style="298" customWidth="1"/>
    <col min="9020" max="9020" width="8.42578125" style="298" customWidth="1"/>
    <col min="9021" max="9021" width="8.140625" style="298" customWidth="1"/>
    <col min="9022" max="9027" width="8.140625" style="298" bestFit="1" customWidth="1"/>
    <col min="9028" max="9028" width="7.42578125" style="298" bestFit="1" customWidth="1"/>
    <col min="9029" max="9029" width="9" style="298" bestFit="1" customWidth="1"/>
    <col min="9030" max="9042" width="7.7109375" style="298" customWidth="1"/>
    <col min="9043" max="9216" width="8.85546875" style="298"/>
    <col min="9217" max="9217" width="38.42578125" style="298" customWidth="1"/>
    <col min="9218" max="9218" width="12.85546875" style="298" customWidth="1"/>
    <col min="9219" max="9274" width="7.7109375" style="298" customWidth="1"/>
    <col min="9275" max="9275" width="13" style="298" customWidth="1"/>
    <col min="9276" max="9276" width="8.42578125" style="298" customWidth="1"/>
    <col min="9277" max="9277" width="8.140625" style="298" customWidth="1"/>
    <col min="9278" max="9283" width="8.140625" style="298" bestFit="1" customWidth="1"/>
    <col min="9284" max="9284" width="7.42578125" style="298" bestFit="1" customWidth="1"/>
    <col min="9285" max="9285" width="9" style="298" bestFit="1" customWidth="1"/>
    <col min="9286" max="9298" width="7.7109375" style="298" customWidth="1"/>
    <col min="9299" max="9472" width="8.85546875" style="298"/>
    <col min="9473" max="9473" width="38.42578125" style="298" customWidth="1"/>
    <col min="9474" max="9474" width="12.85546875" style="298" customWidth="1"/>
    <col min="9475" max="9530" width="7.7109375" style="298" customWidth="1"/>
    <col min="9531" max="9531" width="13" style="298" customWidth="1"/>
    <col min="9532" max="9532" width="8.42578125" style="298" customWidth="1"/>
    <col min="9533" max="9533" width="8.140625" style="298" customWidth="1"/>
    <col min="9534" max="9539" width="8.140625" style="298" bestFit="1" customWidth="1"/>
    <col min="9540" max="9540" width="7.42578125" style="298" bestFit="1" customWidth="1"/>
    <col min="9541" max="9541" width="9" style="298" bestFit="1" customWidth="1"/>
    <col min="9542" max="9554" width="7.7109375" style="298" customWidth="1"/>
    <col min="9555" max="9728" width="8.85546875" style="298"/>
    <col min="9729" max="9729" width="38.42578125" style="298" customWidth="1"/>
    <col min="9730" max="9730" width="12.85546875" style="298" customWidth="1"/>
    <col min="9731" max="9786" width="7.7109375" style="298" customWidth="1"/>
    <col min="9787" max="9787" width="13" style="298" customWidth="1"/>
    <col min="9788" max="9788" width="8.42578125" style="298" customWidth="1"/>
    <col min="9789" max="9789" width="8.140625" style="298" customWidth="1"/>
    <col min="9790" max="9795" width="8.140625" style="298" bestFit="1" customWidth="1"/>
    <col min="9796" max="9796" width="7.42578125" style="298" bestFit="1" customWidth="1"/>
    <col min="9797" max="9797" width="9" style="298" bestFit="1" customWidth="1"/>
    <col min="9798" max="9810" width="7.7109375" style="298" customWidth="1"/>
    <col min="9811" max="9984" width="8.85546875" style="298"/>
    <col min="9985" max="9985" width="38.42578125" style="298" customWidth="1"/>
    <col min="9986" max="9986" width="12.85546875" style="298" customWidth="1"/>
    <col min="9987" max="10042" width="7.7109375" style="298" customWidth="1"/>
    <col min="10043" max="10043" width="13" style="298" customWidth="1"/>
    <col min="10044" max="10044" width="8.42578125" style="298" customWidth="1"/>
    <col min="10045" max="10045" width="8.140625" style="298" customWidth="1"/>
    <col min="10046" max="10051" width="8.140625" style="298" bestFit="1" customWidth="1"/>
    <col min="10052" max="10052" width="7.42578125" style="298" bestFit="1" customWidth="1"/>
    <col min="10053" max="10053" width="9" style="298" bestFit="1" customWidth="1"/>
    <col min="10054" max="10066" width="7.7109375" style="298" customWidth="1"/>
    <col min="10067" max="10240" width="8.85546875" style="298"/>
    <col min="10241" max="10241" width="38.42578125" style="298" customWidth="1"/>
    <col min="10242" max="10242" width="12.85546875" style="298" customWidth="1"/>
    <col min="10243" max="10298" width="7.7109375" style="298" customWidth="1"/>
    <col min="10299" max="10299" width="13" style="298" customWidth="1"/>
    <col min="10300" max="10300" width="8.42578125" style="298" customWidth="1"/>
    <col min="10301" max="10301" width="8.140625" style="298" customWidth="1"/>
    <col min="10302" max="10307" width="8.140625" style="298" bestFit="1" customWidth="1"/>
    <col min="10308" max="10308" width="7.42578125" style="298" bestFit="1" customWidth="1"/>
    <col min="10309" max="10309" width="9" style="298" bestFit="1" customWidth="1"/>
    <col min="10310" max="10322" width="7.7109375" style="298" customWidth="1"/>
    <col min="10323" max="10496" width="8.85546875" style="298"/>
    <col min="10497" max="10497" width="38.42578125" style="298" customWidth="1"/>
    <col min="10498" max="10498" width="12.85546875" style="298" customWidth="1"/>
    <col min="10499" max="10554" width="7.7109375" style="298" customWidth="1"/>
    <col min="10555" max="10555" width="13" style="298" customWidth="1"/>
    <col min="10556" max="10556" width="8.42578125" style="298" customWidth="1"/>
    <col min="10557" max="10557" width="8.140625" style="298" customWidth="1"/>
    <col min="10558" max="10563" width="8.140625" style="298" bestFit="1" customWidth="1"/>
    <col min="10564" max="10564" width="7.42578125" style="298" bestFit="1" customWidth="1"/>
    <col min="10565" max="10565" width="9" style="298" bestFit="1" customWidth="1"/>
    <col min="10566" max="10578" width="7.7109375" style="298" customWidth="1"/>
    <col min="10579" max="10752" width="8.85546875" style="298"/>
    <col min="10753" max="10753" width="38.42578125" style="298" customWidth="1"/>
    <col min="10754" max="10754" width="12.85546875" style="298" customWidth="1"/>
    <col min="10755" max="10810" width="7.7109375" style="298" customWidth="1"/>
    <col min="10811" max="10811" width="13" style="298" customWidth="1"/>
    <col min="10812" max="10812" width="8.42578125" style="298" customWidth="1"/>
    <col min="10813" max="10813" width="8.140625" style="298" customWidth="1"/>
    <col min="10814" max="10819" width="8.140625" style="298" bestFit="1" customWidth="1"/>
    <col min="10820" max="10820" width="7.42578125" style="298" bestFit="1" customWidth="1"/>
    <col min="10821" max="10821" width="9" style="298" bestFit="1" customWidth="1"/>
    <col min="10822" max="10834" width="7.7109375" style="298" customWidth="1"/>
    <col min="10835" max="11008" width="8.85546875" style="298"/>
    <col min="11009" max="11009" width="38.42578125" style="298" customWidth="1"/>
    <col min="11010" max="11010" width="12.85546875" style="298" customWidth="1"/>
    <col min="11011" max="11066" width="7.7109375" style="298" customWidth="1"/>
    <col min="11067" max="11067" width="13" style="298" customWidth="1"/>
    <col min="11068" max="11068" width="8.42578125" style="298" customWidth="1"/>
    <col min="11069" max="11069" width="8.140625" style="298" customWidth="1"/>
    <col min="11070" max="11075" width="8.140625" style="298" bestFit="1" customWidth="1"/>
    <col min="11076" max="11076" width="7.42578125" style="298" bestFit="1" customWidth="1"/>
    <col min="11077" max="11077" width="9" style="298" bestFit="1" customWidth="1"/>
    <col min="11078" max="11090" width="7.7109375" style="298" customWidth="1"/>
    <col min="11091" max="11264" width="8.85546875" style="298"/>
    <col min="11265" max="11265" width="38.42578125" style="298" customWidth="1"/>
    <col min="11266" max="11266" width="12.85546875" style="298" customWidth="1"/>
    <col min="11267" max="11322" width="7.7109375" style="298" customWidth="1"/>
    <col min="11323" max="11323" width="13" style="298" customWidth="1"/>
    <col min="11324" max="11324" width="8.42578125" style="298" customWidth="1"/>
    <col min="11325" max="11325" width="8.140625" style="298" customWidth="1"/>
    <col min="11326" max="11331" width="8.140625" style="298" bestFit="1" customWidth="1"/>
    <col min="11332" max="11332" width="7.42578125" style="298" bestFit="1" customWidth="1"/>
    <col min="11333" max="11333" width="9" style="298" bestFit="1" customWidth="1"/>
    <col min="11334" max="11346" width="7.7109375" style="298" customWidth="1"/>
    <col min="11347" max="11520" width="8.85546875" style="298"/>
    <col min="11521" max="11521" width="38.42578125" style="298" customWidth="1"/>
    <col min="11522" max="11522" width="12.85546875" style="298" customWidth="1"/>
    <col min="11523" max="11578" width="7.7109375" style="298" customWidth="1"/>
    <col min="11579" max="11579" width="13" style="298" customWidth="1"/>
    <col min="11580" max="11580" width="8.42578125" style="298" customWidth="1"/>
    <col min="11581" max="11581" width="8.140625" style="298" customWidth="1"/>
    <col min="11582" max="11587" width="8.140625" style="298" bestFit="1" customWidth="1"/>
    <col min="11588" max="11588" width="7.42578125" style="298" bestFit="1" customWidth="1"/>
    <col min="11589" max="11589" width="9" style="298" bestFit="1" customWidth="1"/>
    <col min="11590" max="11602" width="7.7109375" style="298" customWidth="1"/>
    <col min="11603" max="11776" width="8.85546875" style="298"/>
    <col min="11777" max="11777" width="38.42578125" style="298" customWidth="1"/>
    <col min="11778" max="11778" width="12.85546875" style="298" customWidth="1"/>
    <col min="11779" max="11834" width="7.7109375" style="298" customWidth="1"/>
    <col min="11835" max="11835" width="13" style="298" customWidth="1"/>
    <col min="11836" max="11836" width="8.42578125" style="298" customWidth="1"/>
    <col min="11837" max="11837" width="8.140625" style="298" customWidth="1"/>
    <col min="11838" max="11843" width="8.140625" style="298" bestFit="1" customWidth="1"/>
    <col min="11844" max="11844" width="7.42578125" style="298" bestFit="1" customWidth="1"/>
    <col min="11845" max="11845" width="9" style="298" bestFit="1" customWidth="1"/>
    <col min="11846" max="11858" width="7.7109375" style="298" customWidth="1"/>
    <col min="11859" max="12032" width="8.85546875" style="298"/>
    <col min="12033" max="12033" width="38.42578125" style="298" customWidth="1"/>
    <col min="12034" max="12034" width="12.85546875" style="298" customWidth="1"/>
    <col min="12035" max="12090" width="7.7109375" style="298" customWidth="1"/>
    <col min="12091" max="12091" width="13" style="298" customWidth="1"/>
    <col min="12092" max="12092" width="8.42578125" style="298" customWidth="1"/>
    <col min="12093" max="12093" width="8.140625" style="298" customWidth="1"/>
    <col min="12094" max="12099" width="8.140625" style="298" bestFit="1" customWidth="1"/>
    <col min="12100" max="12100" width="7.42578125" style="298" bestFit="1" customWidth="1"/>
    <col min="12101" max="12101" width="9" style="298" bestFit="1" customWidth="1"/>
    <col min="12102" max="12114" width="7.7109375" style="298" customWidth="1"/>
    <col min="12115" max="12288" width="8.85546875" style="298"/>
    <col min="12289" max="12289" width="38.42578125" style="298" customWidth="1"/>
    <col min="12290" max="12290" width="12.85546875" style="298" customWidth="1"/>
    <col min="12291" max="12346" width="7.7109375" style="298" customWidth="1"/>
    <col min="12347" max="12347" width="13" style="298" customWidth="1"/>
    <col min="12348" max="12348" width="8.42578125" style="298" customWidth="1"/>
    <col min="12349" max="12349" width="8.140625" style="298" customWidth="1"/>
    <col min="12350" max="12355" width="8.140625" style="298" bestFit="1" customWidth="1"/>
    <col min="12356" max="12356" width="7.42578125" style="298" bestFit="1" customWidth="1"/>
    <col min="12357" max="12357" width="9" style="298" bestFit="1" customWidth="1"/>
    <col min="12358" max="12370" width="7.7109375" style="298" customWidth="1"/>
    <col min="12371" max="12544" width="8.85546875" style="298"/>
    <col min="12545" max="12545" width="38.42578125" style="298" customWidth="1"/>
    <col min="12546" max="12546" width="12.85546875" style="298" customWidth="1"/>
    <col min="12547" max="12602" width="7.7109375" style="298" customWidth="1"/>
    <col min="12603" max="12603" width="13" style="298" customWidth="1"/>
    <col min="12604" max="12604" width="8.42578125" style="298" customWidth="1"/>
    <col min="12605" max="12605" width="8.140625" style="298" customWidth="1"/>
    <col min="12606" max="12611" width="8.140625" style="298" bestFit="1" customWidth="1"/>
    <col min="12612" max="12612" width="7.42578125" style="298" bestFit="1" customWidth="1"/>
    <col min="12613" max="12613" width="9" style="298" bestFit="1" customWidth="1"/>
    <col min="12614" max="12626" width="7.7109375" style="298" customWidth="1"/>
    <col min="12627" max="12800" width="8.85546875" style="298"/>
    <col min="12801" max="12801" width="38.42578125" style="298" customWidth="1"/>
    <col min="12802" max="12802" width="12.85546875" style="298" customWidth="1"/>
    <col min="12803" max="12858" width="7.7109375" style="298" customWidth="1"/>
    <col min="12859" max="12859" width="13" style="298" customWidth="1"/>
    <col min="12860" max="12860" width="8.42578125" style="298" customWidth="1"/>
    <col min="12861" max="12861" width="8.140625" style="298" customWidth="1"/>
    <col min="12862" max="12867" width="8.140625" style="298" bestFit="1" customWidth="1"/>
    <col min="12868" max="12868" width="7.42578125" style="298" bestFit="1" customWidth="1"/>
    <col min="12869" max="12869" width="9" style="298" bestFit="1" customWidth="1"/>
    <col min="12870" max="12882" width="7.7109375" style="298" customWidth="1"/>
    <col min="12883" max="13056" width="8.85546875" style="298"/>
    <col min="13057" max="13057" width="38.42578125" style="298" customWidth="1"/>
    <col min="13058" max="13058" width="12.85546875" style="298" customWidth="1"/>
    <col min="13059" max="13114" width="7.7109375" style="298" customWidth="1"/>
    <col min="13115" max="13115" width="13" style="298" customWidth="1"/>
    <col min="13116" max="13116" width="8.42578125" style="298" customWidth="1"/>
    <col min="13117" max="13117" width="8.140625" style="298" customWidth="1"/>
    <col min="13118" max="13123" width="8.140625" style="298" bestFit="1" customWidth="1"/>
    <col min="13124" max="13124" width="7.42578125" style="298" bestFit="1" customWidth="1"/>
    <col min="13125" max="13125" width="9" style="298" bestFit="1" customWidth="1"/>
    <col min="13126" max="13138" width="7.7109375" style="298" customWidth="1"/>
    <col min="13139" max="13312" width="8.85546875" style="298"/>
    <col min="13313" max="13313" width="38.42578125" style="298" customWidth="1"/>
    <col min="13314" max="13314" width="12.85546875" style="298" customWidth="1"/>
    <col min="13315" max="13370" width="7.7109375" style="298" customWidth="1"/>
    <col min="13371" max="13371" width="13" style="298" customWidth="1"/>
    <col min="13372" max="13372" width="8.42578125" style="298" customWidth="1"/>
    <col min="13373" max="13373" width="8.140625" style="298" customWidth="1"/>
    <col min="13374" max="13379" width="8.140625" style="298" bestFit="1" customWidth="1"/>
    <col min="13380" max="13380" width="7.42578125" style="298" bestFit="1" customWidth="1"/>
    <col min="13381" max="13381" width="9" style="298" bestFit="1" customWidth="1"/>
    <col min="13382" max="13394" width="7.7109375" style="298" customWidth="1"/>
    <col min="13395" max="13568" width="8.85546875" style="298"/>
    <col min="13569" max="13569" width="38.42578125" style="298" customWidth="1"/>
    <col min="13570" max="13570" width="12.85546875" style="298" customWidth="1"/>
    <col min="13571" max="13626" width="7.7109375" style="298" customWidth="1"/>
    <col min="13627" max="13627" width="13" style="298" customWidth="1"/>
    <col min="13628" max="13628" width="8.42578125" style="298" customWidth="1"/>
    <col min="13629" max="13629" width="8.140625" style="298" customWidth="1"/>
    <col min="13630" max="13635" width="8.140625" style="298" bestFit="1" customWidth="1"/>
    <col min="13636" max="13636" width="7.42578125" style="298" bestFit="1" customWidth="1"/>
    <col min="13637" max="13637" width="9" style="298" bestFit="1" customWidth="1"/>
    <col min="13638" max="13650" width="7.7109375" style="298" customWidth="1"/>
    <col min="13651" max="13824" width="8.85546875" style="298"/>
    <col min="13825" max="13825" width="38.42578125" style="298" customWidth="1"/>
    <col min="13826" max="13826" width="12.85546875" style="298" customWidth="1"/>
    <col min="13827" max="13882" width="7.7109375" style="298" customWidth="1"/>
    <col min="13883" max="13883" width="13" style="298" customWidth="1"/>
    <col min="13884" max="13884" width="8.42578125" style="298" customWidth="1"/>
    <col min="13885" max="13885" width="8.140625" style="298" customWidth="1"/>
    <col min="13886" max="13891" width="8.140625" style="298" bestFit="1" customWidth="1"/>
    <col min="13892" max="13892" width="7.42578125" style="298" bestFit="1" customWidth="1"/>
    <col min="13893" max="13893" width="9" style="298" bestFit="1" customWidth="1"/>
    <col min="13894" max="13906" width="7.7109375" style="298" customWidth="1"/>
    <col min="13907" max="14080" width="8.85546875" style="298"/>
    <col min="14081" max="14081" width="38.42578125" style="298" customWidth="1"/>
    <col min="14082" max="14082" width="12.85546875" style="298" customWidth="1"/>
    <col min="14083" max="14138" width="7.7109375" style="298" customWidth="1"/>
    <col min="14139" max="14139" width="13" style="298" customWidth="1"/>
    <col min="14140" max="14140" width="8.42578125" style="298" customWidth="1"/>
    <col min="14141" max="14141" width="8.140625" style="298" customWidth="1"/>
    <col min="14142" max="14147" width="8.140625" style="298" bestFit="1" customWidth="1"/>
    <col min="14148" max="14148" width="7.42578125" style="298" bestFit="1" customWidth="1"/>
    <col min="14149" max="14149" width="9" style="298" bestFit="1" customWidth="1"/>
    <col min="14150" max="14162" width="7.7109375" style="298" customWidth="1"/>
    <col min="14163" max="14336" width="8.85546875" style="298"/>
    <col min="14337" max="14337" width="38.42578125" style="298" customWidth="1"/>
    <col min="14338" max="14338" width="12.85546875" style="298" customWidth="1"/>
    <col min="14339" max="14394" width="7.7109375" style="298" customWidth="1"/>
    <col min="14395" max="14395" width="13" style="298" customWidth="1"/>
    <col min="14396" max="14396" width="8.42578125" style="298" customWidth="1"/>
    <col min="14397" max="14397" width="8.140625" style="298" customWidth="1"/>
    <col min="14398" max="14403" width="8.140625" style="298" bestFit="1" customWidth="1"/>
    <col min="14404" max="14404" width="7.42578125" style="298" bestFit="1" customWidth="1"/>
    <col min="14405" max="14405" width="9" style="298" bestFit="1" customWidth="1"/>
    <col min="14406" max="14418" width="7.7109375" style="298" customWidth="1"/>
    <col min="14419" max="14592" width="8.85546875" style="298"/>
    <col min="14593" max="14593" width="38.42578125" style="298" customWidth="1"/>
    <col min="14594" max="14594" width="12.85546875" style="298" customWidth="1"/>
    <col min="14595" max="14650" width="7.7109375" style="298" customWidth="1"/>
    <col min="14651" max="14651" width="13" style="298" customWidth="1"/>
    <col min="14652" max="14652" width="8.42578125" style="298" customWidth="1"/>
    <col min="14653" max="14653" width="8.140625" style="298" customWidth="1"/>
    <col min="14654" max="14659" width="8.140625" style="298" bestFit="1" customWidth="1"/>
    <col min="14660" max="14660" width="7.42578125" style="298" bestFit="1" customWidth="1"/>
    <col min="14661" max="14661" width="9" style="298" bestFit="1" customWidth="1"/>
    <col min="14662" max="14674" width="7.7109375" style="298" customWidth="1"/>
    <col min="14675" max="14848" width="8.85546875" style="298"/>
    <col min="14849" max="14849" width="38.42578125" style="298" customWidth="1"/>
    <col min="14850" max="14850" width="12.85546875" style="298" customWidth="1"/>
    <col min="14851" max="14906" width="7.7109375" style="298" customWidth="1"/>
    <col min="14907" max="14907" width="13" style="298" customWidth="1"/>
    <col min="14908" max="14908" width="8.42578125" style="298" customWidth="1"/>
    <col min="14909" max="14909" width="8.140625" style="298" customWidth="1"/>
    <col min="14910" max="14915" width="8.140625" style="298" bestFit="1" customWidth="1"/>
    <col min="14916" max="14916" width="7.42578125" style="298" bestFit="1" customWidth="1"/>
    <col min="14917" max="14917" width="9" style="298" bestFit="1" customWidth="1"/>
    <col min="14918" max="14930" width="7.7109375" style="298" customWidth="1"/>
    <col min="14931" max="15104" width="8.85546875" style="298"/>
    <col min="15105" max="15105" width="38.42578125" style="298" customWidth="1"/>
    <col min="15106" max="15106" width="12.85546875" style="298" customWidth="1"/>
    <col min="15107" max="15162" width="7.7109375" style="298" customWidth="1"/>
    <col min="15163" max="15163" width="13" style="298" customWidth="1"/>
    <col min="15164" max="15164" width="8.42578125" style="298" customWidth="1"/>
    <col min="15165" max="15165" width="8.140625" style="298" customWidth="1"/>
    <col min="15166" max="15171" width="8.140625" style="298" bestFit="1" customWidth="1"/>
    <col min="15172" max="15172" width="7.42578125" style="298" bestFit="1" customWidth="1"/>
    <col min="15173" max="15173" width="9" style="298" bestFit="1" customWidth="1"/>
    <col min="15174" max="15186" width="7.7109375" style="298" customWidth="1"/>
    <col min="15187" max="15360" width="8.85546875" style="298"/>
    <col min="15361" max="15361" width="38.42578125" style="298" customWidth="1"/>
    <col min="15362" max="15362" width="12.85546875" style="298" customWidth="1"/>
    <col min="15363" max="15418" width="7.7109375" style="298" customWidth="1"/>
    <col min="15419" max="15419" width="13" style="298" customWidth="1"/>
    <col min="15420" max="15420" width="8.42578125" style="298" customWidth="1"/>
    <col min="15421" max="15421" width="8.140625" style="298" customWidth="1"/>
    <col min="15422" max="15427" width="8.140625" style="298" bestFit="1" customWidth="1"/>
    <col min="15428" max="15428" width="7.42578125" style="298" bestFit="1" customWidth="1"/>
    <col min="15429" max="15429" width="9" style="298" bestFit="1" customWidth="1"/>
    <col min="15430" max="15442" width="7.7109375" style="298" customWidth="1"/>
    <col min="15443" max="15616" width="8.85546875" style="298"/>
    <col min="15617" max="15617" width="38.42578125" style="298" customWidth="1"/>
    <col min="15618" max="15618" width="12.85546875" style="298" customWidth="1"/>
    <col min="15619" max="15674" width="7.7109375" style="298" customWidth="1"/>
    <col min="15675" max="15675" width="13" style="298" customWidth="1"/>
    <col min="15676" max="15676" width="8.42578125" style="298" customWidth="1"/>
    <col min="15677" max="15677" width="8.140625" style="298" customWidth="1"/>
    <col min="15678" max="15683" width="8.140625" style="298" bestFit="1" customWidth="1"/>
    <col min="15684" max="15684" width="7.42578125" style="298" bestFit="1" customWidth="1"/>
    <col min="15685" max="15685" width="9" style="298" bestFit="1" customWidth="1"/>
    <col min="15686" max="15698" width="7.7109375" style="298" customWidth="1"/>
    <col min="15699" max="15872" width="8.85546875" style="298"/>
    <col min="15873" max="15873" width="38.42578125" style="298" customWidth="1"/>
    <col min="15874" max="15874" width="12.85546875" style="298" customWidth="1"/>
    <col min="15875" max="15930" width="7.7109375" style="298" customWidth="1"/>
    <col min="15931" max="15931" width="13" style="298" customWidth="1"/>
    <col min="15932" max="15932" width="8.42578125" style="298" customWidth="1"/>
    <col min="15933" max="15933" width="8.140625" style="298" customWidth="1"/>
    <col min="15934" max="15939" width="8.140625" style="298" bestFit="1" customWidth="1"/>
    <col min="15940" max="15940" width="7.42578125" style="298" bestFit="1" customWidth="1"/>
    <col min="15941" max="15941" width="9" style="298" bestFit="1" customWidth="1"/>
    <col min="15942" max="15954" width="7.7109375" style="298" customWidth="1"/>
    <col min="15955" max="16128" width="8.85546875" style="298"/>
    <col min="16129" max="16129" width="38.42578125" style="298" customWidth="1"/>
    <col min="16130" max="16130" width="12.85546875" style="298" customWidth="1"/>
    <col min="16131" max="16186" width="7.7109375" style="298" customWidth="1"/>
    <col min="16187" max="16187" width="13" style="298" customWidth="1"/>
    <col min="16188" max="16188" width="8.42578125" style="298" customWidth="1"/>
    <col min="16189" max="16189" width="8.140625" style="298" customWidth="1"/>
    <col min="16190" max="16195" width="8.140625" style="298" bestFit="1" customWidth="1"/>
    <col min="16196" max="16196" width="7.42578125" style="298" bestFit="1" customWidth="1"/>
    <col min="16197" max="16197" width="9" style="298" bestFit="1" customWidth="1"/>
    <col min="16198" max="16210" width="7.7109375" style="298" customWidth="1"/>
    <col min="16211" max="16384" width="8.85546875" style="298"/>
  </cols>
  <sheetData>
    <row r="1" spans="1:83" ht="18">
      <c r="A1" s="296" t="s">
        <v>17</v>
      </c>
      <c r="B1" s="297"/>
    </row>
    <row r="2" spans="1:83" ht="15.75">
      <c r="A2" s="299" t="s">
        <v>208</v>
      </c>
      <c r="B2" s="300"/>
    </row>
    <row r="3" spans="1:83" ht="15.75" thickBot="1">
      <c r="A3" s="301" t="s">
        <v>19</v>
      </c>
      <c r="B3" s="302"/>
    </row>
    <row r="6" spans="1:83">
      <c r="BI6" s="304" t="s">
        <v>23</v>
      </c>
      <c r="BJ6" s="304" t="s">
        <v>23</v>
      </c>
      <c r="BK6" s="304" t="s">
        <v>23</v>
      </c>
      <c r="BL6" s="304" t="s">
        <v>23</v>
      </c>
      <c r="BM6" s="305" t="s">
        <v>24</v>
      </c>
      <c r="BN6" s="305" t="s">
        <v>24</v>
      </c>
      <c r="BO6" s="305" t="s">
        <v>24</v>
      </c>
      <c r="BP6" s="305" t="s">
        <v>24</v>
      </c>
      <c r="BQ6" s="306" t="s">
        <v>25</v>
      </c>
      <c r="BR6" s="306" t="s">
        <v>25</v>
      </c>
      <c r="BS6" s="306" t="s">
        <v>25</v>
      </c>
      <c r="BT6" s="306" t="s">
        <v>25</v>
      </c>
      <c r="BU6" s="307" t="s">
        <v>209</v>
      </c>
      <c r="BV6" s="307" t="s">
        <v>209</v>
      </c>
      <c r="BW6" s="307" t="s">
        <v>209</v>
      </c>
      <c r="BX6" s="307" t="s">
        <v>209</v>
      </c>
      <c r="BY6" s="308" t="s">
        <v>210</v>
      </c>
      <c r="BZ6" s="308" t="s">
        <v>210</v>
      </c>
      <c r="CA6" s="308" t="s">
        <v>210</v>
      </c>
      <c r="CB6" s="308" t="s">
        <v>210</v>
      </c>
    </row>
    <row r="7" spans="1:83" s="303" customFormat="1">
      <c r="B7" s="303" t="s">
        <v>26</v>
      </c>
      <c r="C7" s="309" t="s">
        <v>27</v>
      </c>
      <c r="D7" s="309" t="s">
        <v>28</v>
      </c>
      <c r="E7" s="309" t="s">
        <v>29</v>
      </c>
      <c r="F7" s="309" t="s">
        <v>30</v>
      </c>
      <c r="G7" s="309" t="s">
        <v>31</v>
      </c>
      <c r="H7" s="309" t="s">
        <v>32</v>
      </c>
      <c r="I7" s="309" t="s">
        <v>33</v>
      </c>
      <c r="J7" s="309" t="s">
        <v>34</v>
      </c>
      <c r="K7" s="309" t="s">
        <v>35</v>
      </c>
      <c r="L7" s="309" t="s">
        <v>36</v>
      </c>
      <c r="M7" s="309" t="s">
        <v>37</v>
      </c>
      <c r="N7" s="309" t="s">
        <v>38</v>
      </c>
      <c r="O7" s="309" t="s">
        <v>39</v>
      </c>
      <c r="P7" s="309" t="s">
        <v>40</v>
      </c>
      <c r="Q7" s="309" t="s">
        <v>41</v>
      </c>
      <c r="R7" s="309" t="s">
        <v>42</v>
      </c>
      <c r="S7" s="309" t="s">
        <v>43</v>
      </c>
      <c r="T7" s="309" t="s">
        <v>44</v>
      </c>
      <c r="U7" s="309" t="s">
        <v>45</v>
      </c>
      <c r="V7" s="309" t="s">
        <v>46</v>
      </c>
      <c r="W7" s="309" t="s">
        <v>47</v>
      </c>
      <c r="X7" s="309" t="s">
        <v>48</v>
      </c>
      <c r="Y7" s="309" t="s">
        <v>49</v>
      </c>
      <c r="Z7" s="309" t="s">
        <v>50</v>
      </c>
      <c r="AA7" s="309" t="s">
        <v>51</v>
      </c>
      <c r="AB7" s="309" t="s">
        <v>52</v>
      </c>
      <c r="AC7" s="309" t="s">
        <v>53</v>
      </c>
      <c r="AD7" s="309" t="s">
        <v>54</v>
      </c>
      <c r="AE7" s="309" t="s">
        <v>55</v>
      </c>
      <c r="AF7" s="309" t="s">
        <v>56</v>
      </c>
      <c r="AG7" s="309" t="s">
        <v>57</v>
      </c>
      <c r="AH7" s="309" t="s">
        <v>58</v>
      </c>
      <c r="AI7" s="309" t="s">
        <v>59</v>
      </c>
      <c r="AJ7" s="309" t="s">
        <v>60</v>
      </c>
      <c r="AK7" s="309" t="s">
        <v>61</v>
      </c>
      <c r="AL7" s="309" t="s">
        <v>62</v>
      </c>
      <c r="AM7" s="309" t="s">
        <v>63</v>
      </c>
      <c r="AN7" s="309" t="s">
        <v>64</v>
      </c>
      <c r="AO7" s="309" t="s">
        <v>65</v>
      </c>
      <c r="AP7" s="309" t="s">
        <v>66</v>
      </c>
      <c r="AQ7" s="309" t="s">
        <v>67</v>
      </c>
      <c r="AR7" s="309" t="s">
        <v>68</v>
      </c>
      <c r="AS7" s="309" t="s">
        <v>69</v>
      </c>
      <c r="AT7" s="309" t="s">
        <v>70</v>
      </c>
      <c r="AU7" s="303" t="s">
        <v>71</v>
      </c>
      <c r="AV7" s="303" t="s">
        <v>72</v>
      </c>
      <c r="AW7" s="303" t="s">
        <v>73</v>
      </c>
      <c r="AX7" s="303" t="s">
        <v>74</v>
      </c>
      <c r="AY7" s="303" t="s">
        <v>75</v>
      </c>
      <c r="AZ7" s="303" t="s">
        <v>76</v>
      </c>
      <c r="BA7" s="303" t="s">
        <v>77</v>
      </c>
      <c r="BB7" s="303" t="s">
        <v>78</v>
      </c>
      <c r="BC7" s="303" t="s">
        <v>79</v>
      </c>
      <c r="BD7" s="303" t="s">
        <v>80</v>
      </c>
      <c r="BE7" s="303" t="s">
        <v>81</v>
      </c>
      <c r="BF7" s="303" t="s">
        <v>82</v>
      </c>
      <c r="BG7" s="303" t="s">
        <v>83</v>
      </c>
      <c r="BH7" s="303" t="s">
        <v>84</v>
      </c>
      <c r="BI7" s="303" t="s">
        <v>85</v>
      </c>
      <c r="BJ7" s="303" t="s">
        <v>86</v>
      </c>
      <c r="BK7" s="303" t="s">
        <v>87</v>
      </c>
      <c r="BL7" s="303" t="s">
        <v>88</v>
      </c>
      <c r="BM7" s="303" t="s">
        <v>89</v>
      </c>
      <c r="BN7" s="303" t="s">
        <v>90</v>
      </c>
      <c r="BO7" s="303" t="s">
        <v>91</v>
      </c>
      <c r="BP7" s="303" t="s">
        <v>92</v>
      </c>
      <c r="BQ7" s="303" t="s">
        <v>93</v>
      </c>
      <c r="BR7" s="303" t="s">
        <v>94</v>
      </c>
      <c r="BS7" s="303" t="s">
        <v>95</v>
      </c>
      <c r="BT7" s="303" t="s">
        <v>96</v>
      </c>
      <c r="BU7" s="303" t="s">
        <v>97</v>
      </c>
      <c r="BV7" s="303" t="s">
        <v>98</v>
      </c>
      <c r="BW7" s="303" t="s">
        <v>211</v>
      </c>
      <c r="BX7" s="303" t="s">
        <v>212</v>
      </c>
      <c r="BY7" s="303" t="s">
        <v>213</v>
      </c>
      <c r="BZ7" s="303" t="s">
        <v>214</v>
      </c>
      <c r="CA7" s="303" t="s">
        <v>215</v>
      </c>
      <c r="CB7" s="303" t="s">
        <v>216</v>
      </c>
      <c r="CC7" s="303" t="s">
        <v>217</v>
      </c>
      <c r="CD7" s="303" t="s">
        <v>218</v>
      </c>
      <c r="CE7" s="303" t="s">
        <v>99</v>
      </c>
    </row>
    <row r="8" spans="1:83">
      <c r="A8" s="303" t="s">
        <v>100</v>
      </c>
      <c r="B8" s="303" t="s">
        <v>101</v>
      </c>
      <c r="C8" s="310">
        <v>2.0339999999999998</v>
      </c>
      <c r="D8" s="310">
        <v>2.0590000000000002</v>
      </c>
      <c r="E8" s="310">
        <v>2.0640000000000001</v>
      </c>
      <c r="F8" s="310">
        <v>2.0870000000000002</v>
      </c>
      <c r="G8" s="310">
        <v>2.1040000000000001</v>
      </c>
      <c r="H8" s="310">
        <v>2.1150000000000002</v>
      </c>
      <c r="I8" s="310">
        <v>2.15</v>
      </c>
      <c r="J8" s="310">
        <v>2.169</v>
      </c>
      <c r="K8" s="310">
        <v>2.1880000000000002</v>
      </c>
      <c r="L8" s="310">
        <v>2.2130000000000001</v>
      </c>
      <c r="M8" s="310">
        <v>2.234</v>
      </c>
      <c r="N8" s="310">
        <v>2.2200000000000002</v>
      </c>
      <c r="O8" s="310">
        <v>2.234</v>
      </c>
      <c r="P8" s="310">
        <v>2.2589999999999999</v>
      </c>
      <c r="Q8" s="310">
        <v>2.2749999999999999</v>
      </c>
      <c r="R8" s="310">
        <v>2.3010000000000002</v>
      </c>
      <c r="S8" s="310">
        <v>2.3220000000000001</v>
      </c>
      <c r="T8" s="310">
        <v>2.363</v>
      </c>
      <c r="U8" s="310">
        <v>2.4039999999999999</v>
      </c>
      <c r="V8" s="310">
        <v>2.35</v>
      </c>
      <c r="W8" s="310">
        <v>2.3420000000000001</v>
      </c>
      <c r="X8" s="310">
        <v>2.347</v>
      </c>
      <c r="Y8" s="310">
        <v>2.367</v>
      </c>
      <c r="Z8" s="310">
        <v>2.38</v>
      </c>
      <c r="AA8" s="310">
        <v>2.3809999999999998</v>
      </c>
      <c r="AB8" s="310">
        <v>2.3839999999999999</v>
      </c>
      <c r="AC8" s="310">
        <v>2.3980000000000001</v>
      </c>
      <c r="AD8" s="310">
        <v>2.42</v>
      </c>
      <c r="AE8" s="310">
        <v>2.4340000000000002</v>
      </c>
      <c r="AF8" s="310">
        <v>2.4769999999999999</v>
      </c>
      <c r="AG8" s="310">
        <v>2.488</v>
      </c>
      <c r="AH8" s="310">
        <v>2.4950000000000001</v>
      </c>
      <c r="AI8" s="310">
        <v>2.5150000000000001</v>
      </c>
      <c r="AJ8" s="310">
        <v>2.5190000000000001</v>
      </c>
      <c r="AK8" s="310">
        <v>2.5289999999999999</v>
      </c>
      <c r="AL8" s="310">
        <v>2.5470000000000002</v>
      </c>
      <c r="AM8" s="310">
        <v>2.5569999999999999</v>
      </c>
      <c r="AN8" s="310">
        <v>2.5539999999999998</v>
      </c>
      <c r="AO8" s="310">
        <v>2.573</v>
      </c>
      <c r="AP8" s="310">
        <v>2.5870000000000002</v>
      </c>
      <c r="AQ8" s="310">
        <v>2.5979999999999999</v>
      </c>
      <c r="AR8" s="310">
        <v>2.6080000000000001</v>
      </c>
      <c r="AS8" s="310">
        <v>2.6139999999999999</v>
      </c>
      <c r="AT8" s="310">
        <v>2.6139999999999999</v>
      </c>
      <c r="AU8" s="298">
        <v>2.613</v>
      </c>
      <c r="AV8" s="298">
        <v>2.6230000000000002</v>
      </c>
      <c r="AW8" s="298">
        <v>2.6190000000000002</v>
      </c>
      <c r="AX8" s="298">
        <v>2.6240000000000001</v>
      </c>
      <c r="AY8" s="298">
        <v>2.6240000000000001</v>
      </c>
      <c r="AZ8" s="298">
        <v>2.6429999999999998</v>
      </c>
      <c r="BA8" s="298">
        <v>2.6640000000000001</v>
      </c>
      <c r="BB8" s="298">
        <v>2.6739999999999999</v>
      </c>
      <c r="BC8" s="298">
        <v>2.6949999999999998</v>
      </c>
      <c r="BD8" s="298">
        <v>2.694</v>
      </c>
      <c r="BE8" s="298">
        <v>2.706</v>
      </c>
      <c r="BF8" s="298">
        <v>2.714</v>
      </c>
      <c r="BG8" s="298">
        <v>2.746</v>
      </c>
      <c r="BH8" s="298">
        <v>2.7650000000000001</v>
      </c>
      <c r="BI8" s="298">
        <v>2.78</v>
      </c>
      <c r="BJ8" s="298">
        <v>2.8050000000000002</v>
      </c>
      <c r="BK8" s="298">
        <v>2.8250000000000002</v>
      </c>
      <c r="BL8" s="298">
        <v>2.8380000000000001</v>
      </c>
      <c r="BM8" s="298">
        <v>2.8479999999999999</v>
      </c>
      <c r="BN8" s="298">
        <v>2.8690000000000002</v>
      </c>
      <c r="BO8" s="298">
        <v>2.895</v>
      </c>
      <c r="BP8" s="298">
        <v>2.91</v>
      </c>
      <c r="BQ8" s="298">
        <v>2.9239999999999999</v>
      </c>
      <c r="BR8" s="298">
        <v>2.94</v>
      </c>
      <c r="BS8" s="298">
        <v>2.96</v>
      </c>
      <c r="BT8" s="298">
        <v>2.9790000000000001</v>
      </c>
      <c r="BU8" s="298">
        <v>2.9990000000000001</v>
      </c>
      <c r="BV8" s="298">
        <v>3.0169999999999999</v>
      </c>
      <c r="BW8" s="298">
        <v>3.0339999999999998</v>
      </c>
      <c r="BX8" s="298">
        <v>3.0510000000000002</v>
      </c>
      <c r="BY8" s="298">
        <v>3.07</v>
      </c>
      <c r="BZ8" s="298">
        <v>3.0880000000000001</v>
      </c>
      <c r="CA8" s="298">
        <v>3.1059999999999999</v>
      </c>
      <c r="CB8" s="298">
        <v>3.1219999999999999</v>
      </c>
      <c r="CC8" s="298">
        <v>3.14</v>
      </c>
      <c r="CD8" s="298">
        <v>3.1579999999999999</v>
      </c>
    </row>
    <row r="9" spans="1:83">
      <c r="A9" s="303" t="s">
        <v>102</v>
      </c>
      <c r="B9" s="303" t="s">
        <v>103</v>
      </c>
      <c r="C9" s="310">
        <v>2.0339999999999998</v>
      </c>
      <c r="D9" s="310">
        <v>2.0590000000000002</v>
      </c>
      <c r="E9" s="310">
        <v>2.0640000000000001</v>
      </c>
      <c r="F9" s="310">
        <v>2.0870000000000002</v>
      </c>
      <c r="G9" s="310">
        <v>2.1040000000000001</v>
      </c>
      <c r="H9" s="310">
        <v>2.1150000000000002</v>
      </c>
      <c r="I9" s="310">
        <v>2.15</v>
      </c>
      <c r="J9" s="310">
        <v>2.169</v>
      </c>
      <c r="K9" s="310">
        <v>2.1880000000000002</v>
      </c>
      <c r="L9" s="310">
        <v>2.2130000000000001</v>
      </c>
      <c r="M9" s="310">
        <v>2.234</v>
      </c>
      <c r="N9" s="310">
        <v>2.2200000000000002</v>
      </c>
      <c r="O9" s="310">
        <v>2.234</v>
      </c>
      <c r="P9" s="310">
        <v>2.2589999999999999</v>
      </c>
      <c r="Q9" s="310">
        <v>2.2749999999999999</v>
      </c>
      <c r="R9" s="310">
        <v>2.3010000000000002</v>
      </c>
      <c r="S9" s="310">
        <v>2.3220000000000001</v>
      </c>
      <c r="T9" s="310">
        <v>2.363</v>
      </c>
      <c r="U9" s="310">
        <v>2.4039999999999999</v>
      </c>
      <c r="V9" s="310">
        <v>2.35</v>
      </c>
      <c r="W9" s="310">
        <v>2.3420000000000001</v>
      </c>
      <c r="X9" s="310">
        <v>2.347</v>
      </c>
      <c r="Y9" s="310">
        <v>2.367</v>
      </c>
      <c r="Z9" s="310">
        <v>2.38</v>
      </c>
      <c r="AA9" s="310">
        <v>2.3809999999999998</v>
      </c>
      <c r="AB9" s="310">
        <v>2.3839999999999999</v>
      </c>
      <c r="AC9" s="310">
        <v>2.3980000000000001</v>
      </c>
      <c r="AD9" s="310">
        <v>2.42</v>
      </c>
      <c r="AE9" s="310">
        <v>2.4340000000000002</v>
      </c>
      <c r="AF9" s="310">
        <v>2.4769999999999999</v>
      </c>
      <c r="AG9" s="310">
        <v>2.488</v>
      </c>
      <c r="AH9" s="310">
        <v>2.4950000000000001</v>
      </c>
      <c r="AI9" s="310">
        <v>2.5150000000000001</v>
      </c>
      <c r="AJ9" s="310">
        <v>2.5190000000000001</v>
      </c>
      <c r="AK9" s="310">
        <v>2.5289999999999999</v>
      </c>
      <c r="AL9" s="310">
        <v>2.5470000000000002</v>
      </c>
      <c r="AM9" s="310">
        <v>2.5569999999999999</v>
      </c>
      <c r="AN9" s="310">
        <v>2.5539999999999998</v>
      </c>
      <c r="AO9" s="310">
        <v>2.573</v>
      </c>
      <c r="AP9" s="310">
        <v>2.5870000000000002</v>
      </c>
      <c r="AQ9" s="310">
        <v>2.5979999999999999</v>
      </c>
      <c r="AR9" s="310">
        <v>2.6080000000000001</v>
      </c>
      <c r="AS9" s="310">
        <v>2.6139999999999999</v>
      </c>
      <c r="AT9" s="310">
        <v>2.6139999999999999</v>
      </c>
      <c r="AU9" s="298">
        <v>2.613</v>
      </c>
      <c r="AV9" s="298">
        <v>2.6230000000000002</v>
      </c>
      <c r="AW9" s="298">
        <v>2.6190000000000002</v>
      </c>
      <c r="AX9" s="298">
        <v>2.6240000000000001</v>
      </c>
      <c r="AY9" s="298">
        <v>2.6240000000000001</v>
      </c>
      <c r="AZ9" s="298">
        <v>2.6429999999999998</v>
      </c>
      <c r="BA9" s="298">
        <v>2.6640000000000001</v>
      </c>
      <c r="BB9" s="298">
        <v>2.6739999999999999</v>
      </c>
      <c r="BC9" s="298">
        <v>2.6949999999999998</v>
      </c>
      <c r="BD9" s="298">
        <v>2.694</v>
      </c>
      <c r="BE9" s="298">
        <v>2.706</v>
      </c>
      <c r="BF9" s="298">
        <v>2.714</v>
      </c>
      <c r="BG9" s="298">
        <v>2.746</v>
      </c>
      <c r="BH9" s="298">
        <v>2.7650000000000001</v>
      </c>
      <c r="BI9" s="298">
        <v>2.78</v>
      </c>
      <c r="BJ9" s="298">
        <v>2.8010000000000002</v>
      </c>
      <c r="BK9" s="298">
        <v>2.8170000000000002</v>
      </c>
      <c r="BL9" s="298">
        <v>2.8260000000000001</v>
      </c>
      <c r="BM9" s="298">
        <v>2.8330000000000002</v>
      </c>
      <c r="BN9" s="298">
        <v>2.8519999999999999</v>
      </c>
      <c r="BO9" s="298">
        <v>2.8759999999999999</v>
      </c>
      <c r="BP9" s="298">
        <v>2.8879999999999999</v>
      </c>
      <c r="BQ9" s="298">
        <v>2.9</v>
      </c>
      <c r="BR9" s="298">
        <v>2.9129999999999998</v>
      </c>
      <c r="BS9" s="298">
        <v>2.931</v>
      </c>
      <c r="BT9" s="298">
        <v>2.9470000000000001</v>
      </c>
      <c r="BU9" s="298">
        <v>2.9630000000000001</v>
      </c>
      <c r="BV9" s="298">
        <v>2.9769999999999999</v>
      </c>
      <c r="BW9" s="298">
        <v>2.99</v>
      </c>
      <c r="BX9" s="298">
        <v>3.004</v>
      </c>
      <c r="BY9" s="298">
        <v>3.0190000000000001</v>
      </c>
      <c r="BZ9" s="298">
        <v>3.0339999999999998</v>
      </c>
      <c r="CA9" s="298">
        <v>3.0489999999999999</v>
      </c>
      <c r="CB9" s="298">
        <v>3.0619999999999998</v>
      </c>
      <c r="CC9" s="298">
        <v>3.0790000000000002</v>
      </c>
      <c r="CD9" s="298">
        <v>3.0950000000000002</v>
      </c>
    </row>
    <row r="10" spans="1:83">
      <c r="A10" s="303" t="s">
        <v>104</v>
      </c>
      <c r="B10" s="303" t="s">
        <v>105</v>
      </c>
      <c r="C10" s="310">
        <v>2.0339999999999998</v>
      </c>
      <c r="D10" s="310">
        <v>2.0590000000000002</v>
      </c>
      <c r="E10" s="310">
        <v>2.0640000000000001</v>
      </c>
      <c r="F10" s="310">
        <v>2.0870000000000002</v>
      </c>
      <c r="G10" s="310">
        <v>2.1040000000000001</v>
      </c>
      <c r="H10" s="310">
        <v>2.1150000000000002</v>
      </c>
      <c r="I10" s="310">
        <v>2.15</v>
      </c>
      <c r="J10" s="310">
        <v>2.169</v>
      </c>
      <c r="K10" s="310">
        <v>2.1880000000000002</v>
      </c>
      <c r="L10" s="310">
        <v>2.2130000000000001</v>
      </c>
      <c r="M10" s="310">
        <v>2.234</v>
      </c>
      <c r="N10" s="310">
        <v>2.2200000000000002</v>
      </c>
      <c r="O10" s="310">
        <v>2.234</v>
      </c>
      <c r="P10" s="310">
        <v>2.2589999999999999</v>
      </c>
      <c r="Q10" s="310">
        <v>2.2749999999999999</v>
      </c>
      <c r="R10" s="310">
        <v>2.3010000000000002</v>
      </c>
      <c r="S10" s="310">
        <v>2.3220000000000001</v>
      </c>
      <c r="T10" s="310">
        <v>2.363</v>
      </c>
      <c r="U10" s="310">
        <v>2.4039999999999999</v>
      </c>
      <c r="V10" s="310">
        <v>2.35</v>
      </c>
      <c r="W10" s="310">
        <v>2.3420000000000001</v>
      </c>
      <c r="X10" s="310">
        <v>2.347</v>
      </c>
      <c r="Y10" s="310">
        <v>2.367</v>
      </c>
      <c r="Z10" s="310">
        <v>2.38</v>
      </c>
      <c r="AA10" s="310">
        <v>2.3809999999999998</v>
      </c>
      <c r="AB10" s="310">
        <v>2.3839999999999999</v>
      </c>
      <c r="AC10" s="310">
        <v>2.3980000000000001</v>
      </c>
      <c r="AD10" s="310">
        <v>2.42</v>
      </c>
      <c r="AE10" s="310">
        <v>2.4340000000000002</v>
      </c>
      <c r="AF10" s="310">
        <v>2.4769999999999999</v>
      </c>
      <c r="AG10" s="310">
        <v>2.488</v>
      </c>
      <c r="AH10" s="310">
        <v>2.4950000000000001</v>
      </c>
      <c r="AI10" s="310">
        <v>2.5150000000000001</v>
      </c>
      <c r="AJ10" s="310">
        <v>2.5190000000000001</v>
      </c>
      <c r="AK10" s="310">
        <v>2.5289999999999999</v>
      </c>
      <c r="AL10" s="310">
        <v>2.5470000000000002</v>
      </c>
      <c r="AM10" s="310">
        <v>2.5569999999999999</v>
      </c>
      <c r="AN10" s="310">
        <v>2.5539999999999998</v>
      </c>
      <c r="AO10" s="310">
        <v>2.573</v>
      </c>
      <c r="AP10" s="310">
        <v>2.5870000000000002</v>
      </c>
      <c r="AQ10" s="310">
        <v>2.5979999999999999</v>
      </c>
      <c r="AR10" s="310">
        <v>2.6080000000000001</v>
      </c>
      <c r="AS10" s="310">
        <v>2.6139999999999999</v>
      </c>
      <c r="AT10" s="310">
        <v>2.6139999999999999</v>
      </c>
      <c r="AU10" s="298">
        <v>2.613</v>
      </c>
      <c r="AV10" s="298">
        <v>2.6230000000000002</v>
      </c>
      <c r="AW10" s="298">
        <v>2.6190000000000002</v>
      </c>
      <c r="AX10" s="298">
        <v>2.6240000000000001</v>
      </c>
      <c r="AY10" s="298">
        <v>2.6240000000000001</v>
      </c>
      <c r="AZ10" s="298">
        <v>2.6429999999999998</v>
      </c>
      <c r="BA10" s="298">
        <v>2.6640000000000001</v>
      </c>
      <c r="BB10" s="298">
        <v>2.6739999999999999</v>
      </c>
      <c r="BC10" s="298">
        <v>2.6949999999999998</v>
      </c>
      <c r="BD10" s="298">
        <v>2.694</v>
      </c>
      <c r="BE10" s="298">
        <v>2.706</v>
      </c>
      <c r="BF10" s="298">
        <v>2.714</v>
      </c>
      <c r="BG10" s="298">
        <v>2.746</v>
      </c>
      <c r="BH10" s="298">
        <v>2.7650000000000001</v>
      </c>
      <c r="BI10" s="298">
        <v>2.78</v>
      </c>
      <c r="BJ10" s="298">
        <v>2.806</v>
      </c>
      <c r="BK10" s="298">
        <v>2.827</v>
      </c>
      <c r="BL10" s="298">
        <v>2.8420000000000001</v>
      </c>
      <c r="BM10" s="298">
        <v>2.855</v>
      </c>
      <c r="BN10" s="298">
        <v>2.88</v>
      </c>
      <c r="BO10" s="298">
        <v>2.911</v>
      </c>
      <c r="BP10" s="298">
        <v>2.931</v>
      </c>
      <c r="BQ10" s="298">
        <v>2.95</v>
      </c>
      <c r="BR10" s="298">
        <v>2.972</v>
      </c>
      <c r="BS10" s="298">
        <v>2.9980000000000002</v>
      </c>
      <c r="BT10" s="298">
        <v>3.0230000000000001</v>
      </c>
      <c r="BU10" s="298">
        <v>3.0489999999999999</v>
      </c>
      <c r="BV10" s="298">
        <v>3.073</v>
      </c>
      <c r="BW10" s="298">
        <v>3.0979999999999999</v>
      </c>
      <c r="BX10" s="298">
        <v>3.1219999999999999</v>
      </c>
      <c r="BY10" s="298">
        <v>3.149</v>
      </c>
      <c r="BZ10" s="298">
        <v>3.1749999999999998</v>
      </c>
      <c r="CA10" s="298">
        <v>3.2010000000000001</v>
      </c>
      <c r="CB10" s="298">
        <v>3.2250000000000001</v>
      </c>
      <c r="CC10" s="298">
        <v>3.2519999999999998</v>
      </c>
      <c r="CD10" s="298">
        <v>3.278</v>
      </c>
    </row>
    <row r="15" spans="1:83">
      <c r="BF15" s="303"/>
    </row>
    <row r="16" spans="1:83">
      <c r="BF16" s="311" t="s">
        <v>106</v>
      </c>
      <c r="BG16" s="312"/>
      <c r="BH16" s="312"/>
      <c r="BI16" s="313" t="s">
        <v>219</v>
      </c>
      <c r="BJ16" s="314"/>
      <c r="BK16" s="314"/>
      <c r="BL16" s="314"/>
      <c r="BM16" s="314"/>
      <c r="BN16" s="314"/>
      <c r="BO16" s="312"/>
      <c r="BP16" s="312"/>
      <c r="BQ16" s="312"/>
    </row>
    <row r="17" spans="58:69">
      <c r="BF17" s="315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7"/>
    </row>
    <row r="18" spans="58:69">
      <c r="BF18" s="318"/>
      <c r="BG18" s="319" t="s">
        <v>108</v>
      </c>
      <c r="BH18" s="320" t="s">
        <v>109</v>
      </c>
      <c r="BI18" s="320"/>
      <c r="BJ18" s="320"/>
      <c r="BK18" s="320"/>
      <c r="BL18" s="320"/>
      <c r="BM18" s="320"/>
      <c r="BN18" s="320"/>
      <c r="BO18" s="320"/>
      <c r="BP18" s="320"/>
      <c r="BQ18" s="321"/>
    </row>
    <row r="19" spans="58:69">
      <c r="BF19" s="318"/>
      <c r="BG19" s="320"/>
      <c r="BH19" s="303" t="s">
        <v>90</v>
      </c>
      <c r="BI19" s="320"/>
      <c r="BJ19" s="320"/>
      <c r="BK19" s="320"/>
      <c r="BL19" s="320"/>
      <c r="BM19" s="320"/>
      <c r="BN19" s="320"/>
      <c r="BO19" s="320"/>
      <c r="BP19" s="320"/>
      <c r="BQ19" s="322" t="s">
        <v>110</v>
      </c>
    </row>
    <row r="20" spans="58:69">
      <c r="BF20" s="318"/>
      <c r="BG20" s="320"/>
      <c r="BH20" s="323">
        <f>BN9</f>
        <v>2.8519999999999999</v>
      </c>
      <c r="BI20" s="320"/>
      <c r="BJ20" s="320"/>
      <c r="BK20" s="320"/>
      <c r="BL20" s="320"/>
      <c r="BM20" s="320"/>
      <c r="BN20" s="320"/>
      <c r="BO20" s="320"/>
      <c r="BP20" s="320"/>
      <c r="BQ20" s="324">
        <f>BH20</f>
        <v>2.8519999999999999</v>
      </c>
    </row>
    <row r="21" spans="58:69">
      <c r="BF21" s="318"/>
      <c r="BG21" s="320"/>
      <c r="BH21" s="320"/>
      <c r="BI21" s="320"/>
      <c r="BJ21" s="320"/>
      <c r="BK21" s="320"/>
      <c r="BL21" s="320"/>
      <c r="BM21" s="320"/>
      <c r="BN21" s="320"/>
      <c r="BO21" s="320"/>
      <c r="BP21" s="320"/>
      <c r="BQ21" s="325"/>
    </row>
    <row r="22" spans="58:69">
      <c r="BF22" s="318"/>
      <c r="BG22" s="319" t="s">
        <v>111</v>
      </c>
      <c r="BH22" s="320" t="s">
        <v>112</v>
      </c>
      <c r="BI22" s="320"/>
      <c r="BJ22" s="320"/>
      <c r="BK22" s="320"/>
      <c r="BL22" s="320"/>
      <c r="BM22" s="320"/>
      <c r="BN22" s="320"/>
      <c r="BO22" s="320"/>
      <c r="BP22" s="320"/>
      <c r="BQ22" s="325"/>
    </row>
    <row r="23" spans="58:69">
      <c r="BF23" s="318"/>
      <c r="BG23" s="320"/>
      <c r="BH23" s="326" t="str">
        <f>BM7</f>
        <v>2019Q3</v>
      </c>
      <c r="BI23" s="326" t="str">
        <f t="shared" ref="BI23:BO23" si="0">BN7</f>
        <v>2019Q4</v>
      </c>
      <c r="BJ23" s="326" t="str">
        <f t="shared" si="0"/>
        <v>2020Q1</v>
      </c>
      <c r="BK23" s="326" t="str">
        <f t="shared" si="0"/>
        <v>2020Q2</v>
      </c>
      <c r="BL23" s="326" t="str">
        <f t="shared" si="0"/>
        <v>2020Q3</v>
      </c>
      <c r="BM23" s="326" t="str">
        <f t="shared" si="0"/>
        <v>2020Q4</v>
      </c>
      <c r="BN23" s="326" t="str">
        <f t="shared" si="0"/>
        <v>2021Q1</v>
      </c>
      <c r="BO23" s="326" t="str">
        <f t="shared" si="0"/>
        <v>2021Q2</v>
      </c>
      <c r="BP23" s="320"/>
      <c r="BQ23" s="325"/>
    </row>
    <row r="24" spans="58:69">
      <c r="BF24" s="318"/>
      <c r="BG24" s="320"/>
      <c r="BH24" s="310">
        <f>BM9</f>
        <v>2.8330000000000002</v>
      </c>
      <c r="BI24" s="310">
        <f t="shared" ref="BI24:BO24" si="1">BN9</f>
        <v>2.8519999999999999</v>
      </c>
      <c r="BJ24" s="310">
        <f t="shared" si="1"/>
        <v>2.8759999999999999</v>
      </c>
      <c r="BK24" s="310">
        <f t="shared" si="1"/>
        <v>2.8879999999999999</v>
      </c>
      <c r="BL24" s="310">
        <f t="shared" si="1"/>
        <v>2.9</v>
      </c>
      <c r="BM24" s="310">
        <f t="shared" si="1"/>
        <v>2.9129999999999998</v>
      </c>
      <c r="BN24" s="310">
        <f t="shared" si="1"/>
        <v>2.931</v>
      </c>
      <c r="BO24" s="310">
        <f t="shared" si="1"/>
        <v>2.9470000000000001</v>
      </c>
      <c r="BP24" s="320"/>
      <c r="BQ24" s="324">
        <f>AVERAGE(BH24:BO24)</f>
        <v>2.8925000000000001</v>
      </c>
    </row>
    <row r="25" spans="58:69">
      <c r="BF25" s="318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5"/>
    </row>
    <row r="26" spans="58:69">
      <c r="BF26" s="318"/>
      <c r="BG26" s="320"/>
      <c r="BH26" s="320"/>
      <c r="BI26" s="320"/>
      <c r="BJ26" s="320"/>
      <c r="BK26" s="320"/>
      <c r="BL26" s="320"/>
      <c r="BM26" s="320"/>
      <c r="BN26" s="320"/>
      <c r="BO26" s="320"/>
      <c r="BP26" s="327" t="s">
        <v>113</v>
      </c>
      <c r="BQ26" s="69">
        <f>(BQ24-BQ20)/BQ20</f>
        <v>1.4200561009817744E-2</v>
      </c>
    </row>
    <row r="27" spans="58:69">
      <c r="BF27" s="328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30"/>
    </row>
  </sheetData>
  <pageMargins left="0.25" right="0.25" top="1" bottom="1" header="0.5" footer="0.5"/>
  <pageSetup scale="84" orientation="landscape" r:id="rId1"/>
  <headerFooter alignWithMargins="0"/>
  <colBreaks count="2" manualBreakCount="2">
    <brk id="56" max="35" man="1"/>
    <brk id="6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opLeftCell="B1" zoomScale="90" zoomScaleNormal="90" workbookViewId="0">
      <selection activeCell="D29" sqref="D29"/>
    </sheetView>
  </sheetViews>
  <sheetFormatPr defaultRowHeight="15"/>
  <cols>
    <col min="1" max="1" width="31.5703125" customWidth="1"/>
    <col min="2" max="2" width="18.140625" customWidth="1"/>
    <col min="3" max="3" width="23" customWidth="1"/>
    <col min="4" max="4" width="34.42578125" customWidth="1"/>
    <col min="5" max="6" width="2.85546875" customWidth="1"/>
    <col min="7" max="7" width="29.28515625" bestFit="1" customWidth="1"/>
    <col min="8" max="8" width="13.28515625" bestFit="1" customWidth="1"/>
    <col min="9" max="9" width="18.7109375" customWidth="1"/>
    <col min="10" max="10" width="14.28515625" customWidth="1"/>
    <col min="11" max="11" width="12.7109375" bestFit="1" customWidth="1"/>
  </cols>
  <sheetData>
    <row r="1" spans="1:11" ht="23.25">
      <c r="G1" s="336" t="s">
        <v>205</v>
      </c>
      <c r="H1" s="336"/>
      <c r="I1" s="336"/>
      <c r="J1" s="336"/>
      <c r="K1" s="336"/>
    </row>
    <row r="2" spans="1:11" ht="15.75" thickBot="1">
      <c r="G2" s="2"/>
      <c r="H2" s="1"/>
      <c r="I2" s="1"/>
      <c r="J2" s="1"/>
      <c r="K2" s="1"/>
    </row>
    <row r="3" spans="1:11" ht="24" thickBot="1">
      <c r="A3" s="337" t="s">
        <v>207</v>
      </c>
      <c r="B3" s="338"/>
      <c r="C3" s="338"/>
      <c r="D3" s="147"/>
      <c r="G3" s="339" t="s">
        <v>0</v>
      </c>
      <c r="H3" s="340"/>
      <c r="I3" s="340"/>
      <c r="J3" s="340"/>
      <c r="K3" s="341"/>
    </row>
    <row r="4" spans="1:11" ht="15.75" thickBot="1">
      <c r="A4" s="342" t="s">
        <v>136</v>
      </c>
      <c r="B4" s="343"/>
      <c r="C4" s="155" t="s">
        <v>137</v>
      </c>
      <c r="D4" s="156"/>
      <c r="G4" s="3" t="s">
        <v>1</v>
      </c>
      <c r="H4" s="32"/>
      <c r="I4" s="4"/>
      <c r="J4" s="5" t="s">
        <v>123</v>
      </c>
      <c r="K4" s="6">
        <v>1500</v>
      </c>
    </row>
    <row r="5" spans="1:11">
      <c r="A5" s="135" t="s">
        <v>138</v>
      </c>
      <c r="B5" s="158">
        <v>58864</v>
      </c>
      <c r="C5" s="148" t="s">
        <v>139</v>
      </c>
      <c r="D5" s="136"/>
      <c r="G5" s="7" t="s">
        <v>2</v>
      </c>
      <c r="H5" s="130"/>
      <c r="I5" s="8" t="s">
        <v>3</v>
      </c>
      <c r="J5" s="8" t="s">
        <v>4</v>
      </c>
      <c r="K5" s="9" t="s">
        <v>5</v>
      </c>
    </row>
    <row r="6" spans="1:11">
      <c r="A6" s="135" t="s">
        <v>140</v>
      </c>
      <c r="B6" s="158">
        <v>53818</v>
      </c>
      <c r="C6" s="148" t="s">
        <v>139</v>
      </c>
      <c r="D6" s="137"/>
      <c r="G6" s="10" t="str">
        <f>A5</f>
        <v>Management</v>
      </c>
      <c r="H6" s="131"/>
      <c r="I6" s="11">
        <f>B5</f>
        <v>58864</v>
      </c>
      <c r="J6" s="12">
        <v>0.1</v>
      </c>
      <c r="K6" s="13">
        <f>I6*J6</f>
        <v>5886.4000000000005</v>
      </c>
    </row>
    <row r="7" spans="1:11">
      <c r="A7" s="135" t="s">
        <v>133</v>
      </c>
      <c r="B7" s="158">
        <v>43447</v>
      </c>
      <c r="C7" s="149" t="s">
        <v>141</v>
      </c>
      <c r="D7" s="137"/>
      <c r="G7" s="10" t="s">
        <v>6</v>
      </c>
      <c r="H7" s="131"/>
      <c r="I7" s="11">
        <f>B6</f>
        <v>53818</v>
      </c>
      <c r="J7" s="14">
        <v>0.01</v>
      </c>
      <c r="K7" s="13">
        <f>I7*J7</f>
        <v>538.18000000000006</v>
      </c>
    </row>
    <row r="8" spans="1:11">
      <c r="A8" s="135" t="s">
        <v>183</v>
      </c>
      <c r="B8" s="158">
        <v>32311</v>
      </c>
      <c r="C8" s="148" t="s">
        <v>139</v>
      </c>
      <c r="D8" s="136"/>
      <c r="G8" s="265" t="s">
        <v>133</v>
      </c>
      <c r="H8" s="266"/>
      <c r="I8" s="11">
        <f>B7</f>
        <v>43447</v>
      </c>
      <c r="J8" s="12">
        <v>1</v>
      </c>
      <c r="K8" s="13">
        <f t="shared" ref="K8:K9" si="0">I8*J8</f>
        <v>43447</v>
      </c>
    </row>
    <row r="9" spans="1:11" ht="15.75" thickBot="1">
      <c r="A9" s="135" t="s">
        <v>121</v>
      </c>
      <c r="B9" s="158">
        <f>37009*1.0272359</f>
        <v>38016.973423099997</v>
      </c>
      <c r="C9" s="149" t="s">
        <v>141</v>
      </c>
      <c r="D9" s="136"/>
      <c r="G9" s="15" t="s">
        <v>184</v>
      </c>
      <c r="H9" s="132"/>
      <c r="I9" s="16">
        <f>B8</f>
        <v>32311</v>
      </c>
      <c r="J9" s="17">
        <v>0.02</v>
      </c>
      <c r="K9" s="18">
        <f t="shared" si="0"/>
        <v>646.22</v>
      </c>
    </row>
    <row r="10" spans="1:11" ht="15.75" thickBot="1">
      <c r="A10" s="344" t="s">
        <v>142</v>
      </c>
      <c r="B10" s="345"/>
      <c r="C10" s="153"/>
      <c r="D10" s="154"/>
      <c r="G10" s="19" t="s">
        <v>8</v>
      </c>
      <c r="H10" s="20"/>
      <c r="I10" s="14"/>
      <c r="J10" s="12">
        <f>SUM(J6:J9)</f>
        <v>1.1300000000000001</v>
      </c>
      <c r="K10" s="13">
        <f>SUM(K6:K9)</f>
        <v>50517.8</v>
      </c>
    </row>
    <row r="11" spans="1:11">
      <c r="A11" s="140" t="s">
        <v>9</v>
      </c>
      <c r="B11" s="159">
        <v>0.23</v>
      </c>
      <c r="C11" s="150" t="s">
        <v>145</v>
      </c>
      <c r="D11" s="139"/>
      <c r="G11" s="19"/>
      <c r="H11" s="20"/>
      <c r="I11" s="20"/>
      <c r="J11" s="20"/>
      <c r="K11" s="21"/>
    </row>
    <row r="12" spans="1:11">
      <c r="A12" s="141" t="s">
        <v>188</v>
      </c>
      <c r="B12" s="235">
        <f>6123</f>
        <v>6123</v>
      </c>
      <c r="C12" s="138" t="s">
        <v>189</v>
      </c>
      <c r="D12" s="139"/>
      <c r="G12" s="22" t="s">
        <v>9</v>
      </c>
      <c r="H12" s="24"/>
      <c r="I12" s="23">
        <v>0.23</v>
      </c>
      <c r="J12" s="24"/>
      <c r="K12" s="25">
        <f>I12*K10</f>
        <v>11619.094000000001</v>
      </c>
    </row>
    <row r="13" spans="1:11" ht="15.75" thickBot="1">
      <c r="A13" s="141" t="s">
        <v>188</v>
      </c>
      <c r="B13" s="235">
        <f>5755*40%</f>
        <v>2302</v>
      </c>
      <c r="C13" s="138" t="s">
        <v>190</v>
      </c>
      <c r="D13" s="139"/>
      <c r="G13" s="114" t="s">
        <v>10</v>
      </c>
      <c r="H13" s="133"/>
      <c r="I13" s="115"/>
      <c r="J13" s="115"/>
      <c r="K13" s="116">
        <f>K10+K12</f>
        <v>62136.894</v>
      </c>
    </row>
    <row r="14" spans="1:11">
      <c r="A14" s="141" t="s">
        <v>143</v>
      </c>
      <c r="B14" s="160">
        <v>0.54</v>
      </c>
      <c r="C14" s="138" t="s">
        <v>191</v>
      </c>
      <c r="D14" s="139"/>
      <c r="G14" s="117"/>
      <c r="H14" s="134"/>
      <c r="I14" s="94"/>
      <c r="J14" s="94"/>
      <c r="K14" s="118"/>
    </row>
    <row r="15" spans="1:11">
      <c r="A15" s="140" t="s">
        <v>126</v>
      </c>
      <c r="B15" s="160">
        <v>0.08</v>
      </c>
      <c r="C15" s="138" t="s">
        <v>146</v>
      </c>
      <c r="D15" s="139"/>
      <c r="G15" s="19"/>
      <c r="H15" s="20"/>
      <c r="I15" s="261" t="s">
        <v>124</v>
      </c>
      <c r="J15" s="261" t="s">
        <v>131</v>
      </c>
      <c r="K15" s="21"/>
    </row>
    <row r="16" spans="1:11">
      <c r="A16" s="141" t="s">
        <v>148</v>
      </c>
      <c r="B16" s="160">
        <v>1.47</v>
      </c>
      <c r="C16" s="138" t="s">
        <v>147</v>
      </c>
      <c r="D16" s="139"/>
      <c r="G16" s="29" t="s">
        <v>128</v>
      </c>
      <c r="H16" s="82"/>
      <c r="I16" s="260">
        <f>B13</f>
        <v>2302</v>
      </c>
      <c r="J16" s="236"/>
      <c r="K16" s="13">
        <f>I16*J10</f>
        <v>2601.2600000000002</v>
      </c>
    </row>
    <row r="17" spans="1:11">
      <c r="A17" s="141" t="s">
        <v>144</v>
      </c>
      <c r="B17" s="159">
        <v>0.125</v>
      </c>
      <c r="C17" s="150" t="s">
        <v>145</v>
      </c>
      <c r="D17" s="139"/>
      <c r="G17" s="29" t="s">
        <v>125</v>
      </c>
      <c r="H17" s="82"/>
      <c r="I17" s="88"/>
      <c r="J17" s="89">
        <f>B14</f>
        <v>0.54</v>
      </c>
      <c r="K17" s="13">
        <f>K4*J17</f>
        <v>810</v>
      </c>
    </row>
    <row r="18" spans="1:11">
      <c r="A18" s="145" t="s">
        <v>149</v>
      </c>
      <c r="B18" s="157">
        <v>6.3E-3</v>
      </c>
      <c r="C18" s="151" t="s">
        <v>150</v>
      </c>
      <c r="D18" s="152"/>
      <c r="G18" s="29" t="s">
        <v>126</v>
      </c>
      <c r="H18" s="82"/>
      <c r="I18" s="88"/>
      <c r="J18" s="89">
        <f>B15</f>
        <v>0.08</v>
      </c>
      <c r="K18" s="13">
        <f>J18*K4</f>
        <v>120</v>
      </c>
    </row>
    <row r="19" spans="1:11" ht="15.75" thickBot="1">
      <c r="A19" s="142" t="s">
        <v>152</v>
      </c>
      <c r="B19" s="331">
        <f>'CAF Fall 2018'!BQ26</f>
        <v>1.4200561009817744E-2</v>
      </c>
      <c r="C19" s="143" t="s">
        <v>151</v>
      </c>
      <c r="D19" s="144"/>
      <c r="G19" s="29" t="s">
        <v>127</v>
      </c>
      <c r="H19" s="82"/>
      <c r="I19" s="92"/>
      <c r="J19" s="90">
        <f>B16</f>
        <v>1.47</v>
      </c>
      <c r="K19" s="25">
        <f>J19*K4</f>
        <v>2205</v>
      </c>
    </row>
    <row r="20" spans="1:11">
      <c r="G20" s="19"/>
      <c r="H20" s="20"/>
      <c r="I20" s="20"/>
      <c r="J20" s="14"/>
      <c r="K20" s="13">
        <f>SUM(K16:K19)</f>
        <v>5736.26</v>
      </c>
    </row>
    <row r="21" spans="1:11">
      <c r="G21" s="19"/>
      <c r="H21" s="20"/>
      <c r="I21" s="20"/>
      <c r="J21" s="20"/>
      <c r="K21" s="21"/>
    </row>
    <row r="22" spans="1:11" ht="15.75" thickBot="1">
      <c r="G22" s="31" t="s">
        <v>11</v>
      </c>
      <c r="H22" s="27"/>
      <c r="I22" s="27"/>
      <c r="J22" s="27"/>
      <c r="K22" s="28">
        <f>K20+K13</f>
        <v>67873.153999999995</v>
      </c>
    </row>
    <row r="23" spans="1:11" ht="15.75" thickTop="1">
      <c r="G23" s="19" t="s">
        <v>12</v>
      </c>
      <c r="H23" s="20"/>
      <c r="I23" s="113">
        <v>0.125</v>
      </c>
      <c r="J23" s="20"/>
      <c r="K23" s="13">
        <f>K22*I23</f>
        <v>8484.1442499999994</v>
      </c>
    </row>
    <row r="24" spans="1:11">
      <c r="G24" s="19" t="s">
        <v>129</v>
      </c>
      <c r="H24" s="20"/>
      <c r="I24" s="20"/>
      <c r="J24" s="20"/>
      <c r="K24" s="13">
        <f>K22+K23</f>
        <v>76357.298249999993</v>
      </c>
    </row>
    <row r="25" spans="1:11">
      <c r="G25" s="19" t="s">
        <v>16</v>
      </c>
      <c r="H25" s="20"/>
      <c r="I25" s="332">
        <f>B19</f>
        <v>1.4200561009817744E-2</v>
      </c>
      <c r="J25" s="34"/>
      <c r="K25" s="13">
        <f>K24*I25</f>
        <v>1084.3164723439745</v>
      </c>
    </row>
    <row r="26" spans="1:11" ht="15.75" thickBot="1">
      <c r="G26" s="123" t="s">
        <v>134</v>
      </c>
      <c r="H26" s="125"/>
      <c r="I26" s="124">
        <v>6.3E-3</v>
      </c>
      <c r="J26" s="125"/>
      <c r="K26" s="126">
        <f>K10*(I25+1)*I26</f>
        <v>322.78164093618517</v>
      </c>
    </row>
    <row r="27" spans="1:11" ht="15.75" thickTop="1">
      <c r="G27" s="3" t="s">
        <v>13</v>
      </c>
      <c r="H27" s="32"/>
      <c r="I27" s="113"/>
      <c r="J27" s="20"/>
      <c r="K27" s="33">
        <f>K26+K25+K24</f>
        <v>77764.396363280146</v>
      </c>
    </row>
    <row r="28" spans="1:11" ht="15.75" thickBot="1">
      <c r="G28" s="19" t="s">
        <v>14</v>
      </c>
      <c r="H28" s="20"/>
      <c r="I28" s="20"/>
      <c r="J28" s="20"/>
      <c r="K28" s="30">
        <f>K27/K4</f>
        <v>51.842930908853432</v>
      </c>
    </row>
    <row r="29" spans="1:11" ht="15.75" thickBot="1">
      <c r="G29" s="36" t="s">
        <v>15</v>
      </c>
      <c r="H29" s="37"/>
      <c r="I29" s="37"/>
      <c r="J29" s="37"/>
      <c r="K29" s="122">
        <f>K28*0.25+0.01</f>
        <v>12.970732727213358</v>
      </c>
    </row>
    <row r="30" spans="1:11" ht="15.75" thickBot="1">
      <c r="G30" s="1"/>
      <c r="H30" s="1"/>
      <c r="I30" s="1"/>
      <c r="J30" s="1"/>
      <c r="K30" s="1"/>
    </row>
    <row r="31" spans="1:11" ht="21.75" thickBot="1">
      <c r="G31" s="333" t="s">
        <v>115</v>
      </c>
      <c r="H31" s="334"/>
      <c r="I31" s="334"/>
      <c r="J31" s="334"/>
      <c r="K31" s="335"/>
    </row>
    <row r="32" spans="1:11">
      <c r="G32" s="98" t="s">
        <v>135</v>
      </c>
      <c r="H32" s="99">
        <v>10</v>
      </c>
      <c r="I32" s="100" t="s">
        <v>117</v>
      </c>
      <c r="J32" s="100">
        <v>4</v>
      </c>
      <c r="K32" s="101">
        <v>10314</v>
      </c>
    </row>
    <row r="33" spans="1:11">
      <c r="G33" s="7" t="s">
        <v>2</v>
      </c>
      <c r="H33" s="8" t="s">
        <v>118</v>
      </c>
      <c r="I33" s="8" t="s">
        <v>3</v>
      </c>
      <c r="J33" s="8" t="s">
        <v>4</v>
      </c>
      <c r="K33" s="9" t="s">
        <v>5</v>
      </c>
    </row>
    <row r="34" spans="1:11">
      <c r="G34" s="75" t="str">
        <f>A5</f>
        <v>Management</v>
      </c>
      <c r="H34" s="12">
        <v>77.328424472822888</v>
      </c>
      <c r="I34" s="76">
        <f>B5</f>
        <v>58864</v>
      </c>
      <c r="J34" s="12">
        <v>0.13337346528874841</v>
      </c>
      <c r="K34" s="13">
        <f>I34*J34</f>
        <v>7850.8956607568862</v>
      </c>
    </row>
    <row r="35" spans="1:11">
      <c r="G35" s="77" t="s">
        <v>7</v>
      </c>
      <c r="H35" s="12">
        <v>4.1847512268877489</v>
      </c>
      <c r="I35" s="111">
        <f>B8</f>
        <v>32311</v>
      </c>
      <c r="J35" s="12">
        <v>2.4645574797835637</v>
      </c>
      <c r="K35" s="13">
        <f>I35*J35</f>
        <v>79632.316729286729</v>
      </c>
    </row>
    <row r="36" spans="1:11">
      <c r="A36" s="109"/>
      <c r="B36" s="109"/>
      <c r="C36" s="109"/>
      <c r="D36" s="109"/>
      <c r="G36" s="78" t="s">
        <v>184</v>
      </c>
      <c r="H36" s="79">
        <v>121.96422275526065</v>
      </c>
      <c r="I36" s="80">
        <f>B8</f>
        <v>32311</v>
      </c>
      <c r="J36" s="79">
        <v>8.4562174908910284E-2</v>
      </c>
      <c r="K36" s="25">
        <f>I36*J36</f>
        <v>2732.2884334818</v>
      </c>
    </row>
    <row r="37" spans="1:11">
      <c r="A37" s="109"/>
      <c r="B37" s="109"/>
      <c r="C37" s="109"/>
      <c r="D37" s="109"/>
      <c r="G37" s="19" t="s">
        <v>8</v>
      </c>
      <c r="H37" s="20"/>
      <c r="I37" s="20"/>
      <c r="J37" s="12">
        <f>SUM(J34:J36)</f>
        <v>2.6824931199812228</v>
      </c>
      <c r="K37" s="13">
        <f>SUM(K34:K36)</f>
        <v>90215.500823525406</v>
      </c>
    </row>
    <row r="38" spans="1:11">
      <c r="A38" s="109"/>
      <c r="B38" s="109"/>
      <c r="C38" s="109"/>
      <c r="D38" s="109"/>
      <c r="G38" s="19"/>
      <c r="H38" s="20"/>
      <c r="I38" s="20"/>
      <c r="J38" s="20"/>
      <c r="K38" s="21"/>
    </row>
    <row r="39" spans="1:11">
      <c r="A39" s="109"/>
      <c r="B39" s="109"/>
      <c r="C39" s="109"/>
      <c r="D39" s="109"/>
      <c r="G39" s="22" t="s">
        <v>9</v>
      </c>
      <c r="H39" s="24"/>
      <c r="I39" s="23">
        <v>0.23</v>
      </c>
      <c r="J39" s="24"/>
      <c r="K39" s="25">
        <f>I39*K37</f>
        <v>20749.565189410845</v>
      </c>
    </row>
    <row r="40" spans="1:11" ht="15.75" thickBot="1">
      <c r="E40" s="109"/>
      <c r="G40" s="26" t="s">
        <v>10</v>
      </c>
      <c r="H40" s="81"/>
      <c r="I40" s="27"/>
      <c r="J40" s="27"/>
      <c r="K40" s="28">
        <f>K37+K39</f>
        <v>110965.06601293625</v>
      </c>
    </row>
    <row r="41" spans="1:11" ht="15.75" thickTop="1">
      <c r="E41" s="109"/>
      <c r="G41" s="19"/>
      <c r="H41" s="20" t="s">
        <v>124</v>
      </c>
      <c r="I41" s="14" t="s">
        <v>131</v>
      </c>
      <c r="J41" s="14"/>
      <c r="K41" s="21"/>
    </row>
    <row r="42" spans="1:11">
      <c r="E42" s="109"/>
      <c r="G42" s="29" t="s">
        <v>128</v>
      </c>
      <c r="H42" s="262">
        <f>B12</f>
        <v>6123</v>
      </c>
      <c r="I42" s="237"/>
      <c r="J42" s="83"/>
      <c r="K42" s="13">
        <f>H42*J37</f>
        <v>16424.905373645026</v>
      </c>
    </row>
    <row r="43" spans="1:11">
      <c r="E43" s="109"/>
      <c r="G43" s="29" t="s">
        <v>125</v>
      </c>
      <c r="H43" s="82"/>
      <c r="I43" s="95">
        <f>J17</f>
        <v>0.54</v>
      </c>
      <c r="J43" s="83"/>
      <c r="K43" s="13">
        <f>I43*K32</f>
        <v>5569.56</v>
      </c>
    </row>
    <row r="44" spans="1:11">
      <c r="G44" s="29" t="s">
        <v>126</v>
      </c>
      <c r="H44" s="82"/>
      <c r="I44" s="95">
        <f>J18</f>
        <v>0.08</v>
      </c>
      <c r="J44" s="83"/>
      <c r="K44" s="13">
        <f>I44*K32</f>
        <v>825.12</v>
      </c>
    </row>
    <row r="45" spans="1:11" ht="15.75" thickBot="1">
      <c r="G45" s="29" t="s">
        <v>127</v>
      </c>
      <c r="H45" s="20"/>
      <c r="I45" s="95">
        <f>B16</f>
        <v>1.47</v>
      </c>
      <c r="J45" s="14"/>
      <c r="K45" s="96">
        <f>(I45*J32)*250</f>
        <v>1470</v>
      </c>
    </row>
    <row r="46" spans="1:11" ht="15.75" thickTop="1">
      <c r="G46" s="19"/>
      <c r="H46" s="20"/>
      <c r="I46" s="20"/>
      <c r="J46" s="14"/>
      <c r="K46" s="13">
        <f>SUM(K42:K45)</f>
        <v>24289.585373645026</v>
      </c>
    </row>
    <row r="47" spans="1:11">
      <c r="G47" s="19"/>
      <c r="H47" s="20"/>
      <c r="I47" s="20"/>
      <c r="J47" s="20"/>
      <c r="K47" s="21"/>
    </row>
    <row r="48" spans="1:11" ht="15.75" thickBot="1">
      <c r="G48" s="31" t="s">
        <v>11</v>
      </c>
      <c r="H48" s="27"/>
      <c r="I48" s="27"/>
      <c r="J48" s="27"/>
      <c r="K48" s="28">
        <f>K46+K40</f>
        <v>135254.65138658127</v>
      </c>
    </row>
    <row r="49" spans="1:11" ht="15.75" thickTop="1">
      <c r="G49" s="19"/>
      <c r="H49" s="20"/>
      <c r="I49" s="20"/>
      <c r="J49" s="20"/>
      <c r="K49" s="21"/>
    </row>
    <row r="50" spans="1:11">
      <c r="G50" s="22" t="s">
        <v>12</v>
      </c>
      <c r="H50" s="24"/>
      <c r="I50" s="23">
        <v>0.125</v>
      </c>
      <c r="J50" s="24"/>
      <c r="K50" s="25">
        <f>K48*I50</f>
        <v>16906.831423322659</v>
      </c>
    </row>
    <row r="51" spans="1:11">
      <c r="G51" s="19" t="s">
        <v>129</v>
      </c>
      <c r="H51" s="32"/>
      <c r="I51" s="32"/>
      <c r="J51" s="32"/>
      <c r="K51" s="33">
        <f>K48+K50</f>
        <v>152161.48280990394</v>
      </c>
    </row>
    <row r="52" spans="1:11">
      <c r="G52" s="19" t="s">
        <v>16</v>
      </c>
      <c r="H52" s="20"/>
      <c r="I52" s="35">
        <f>I25</f>
        <v>1.4200561009817744E-2</v>
      </c>
      <c r="J52" s="34"/>
      <c r="K52" s="13">
        <f>K51*I52</f>
        <v>2160.778419986375</v>
      </c>
    </row>
    <row r="53" spans="1:11" ht="15.75" thickBot="1">
      <c r="G53" s="123" t="s">
        <v>134</v>
      </c>
      <c r="H53" s="125"/>
      <c r="I53" s="127">
        <f>I26</f>
        <v>6.3E-3</v>
      </c>
      <c r="J53" s="125"/>
      <c r="K53" s="128">
        <f>K37*(I52+1)*I53</f>
        <v>576.42865274610722</v>
      </c>
    </row>
    <row r="54" spans="1:11" ht="15.75" thickTop="1">
      <c r="A54" s="35"/>
      <c r="B54" s="35"/>
      <c r="C54" s="35"/>
      <c r="D54" s="35"/>
      <c r="G54" s="3" t="s">
        <v>13</v>
      </c>
      <c r="H54" s="20"/>
      <c r="I54" s="119"/>
      <c r="J54" s="20"/>
      <c r="K54" s="33">
        <f>K53+K52+K51</f>
        <v>154898.68988263642</v>
      </c>
    </row>
    <row r="55" spans="1:11" ht="15.75" thickBot="1">
      <c r="A55" s="35"/>
      <c r="B55" s="35"/>
      <c r="C55" s="35"/>
      <c r="D55" s="35"/>
      <c r="G55" s="19" t="s">
        <v>14</v>
      </c>
      <c r="H55" s="20"/>
      <c r="I55" s="20"/>
      <c r="J55" s="20"/>
      <c r="K55" s="30">
        <f>K54/K32-0.01</f>
        <v>15.008294539716543</v>
      </c>
    </row>
    <row r="56" spans="1:11" ht="15.75" thickBot="1">
      <c r="A56" s="35"/>
      <c r="B56" s="35"/>
      <c r="C56" s="35"/>
      <c r="D56" s="35"/>
      <c r="G56" s="36" t="s">
        <v>15</v>
      </c>
      <c r="H56" s="37"/>
      <c r="I56" s="37"/>
      <c r="J56" s="37"/>
      <c r="K56" s="122">
        <f>K55*0.25</f>
        <v>3.7520736349291357</v>
      </c>
    </row>
    <row r="57" spans="1:11" ht="15.75" thickBot="1">
      <c r="A57" s="84"/>
      <c r="B57" s="84"/>
      <c r="C57" s="84"/>
      <c r="D57" s="84"/>
      <c r="E57" s="84"/>
    </row>
    <row r="58" spans="1:11" ht="21.75" thickBot="1">
      <c r="A58" s="85"/>
      <c r="B58" s="85"/>
      <c r="C58" s="85"/>
      <c r="D58" s="85"/>
      <c r="E58" s="84"/>
      <c r="G58" s="333" t="s">
        <v>120</v>
      </c>
      <c r="H58" s="334"/>
      <c r="I58" s="334"/>
      <c r="J58" s="334"/>
      <c r="K58" s="335"/>
    </row>
    <row r="59" spans="1:11">
      <c r="A59" s="84"/>
      <c r="B59" s="84"/>
      <c r="C59" s="84"/>
      <c r="D59" s="84"/>
      <c r="E59" s="84"/>
      <c r="G59" s="98" t="s">
        <v>116</v>
      </c>
      <c r="H59" s="99">
        <v>10</v>
      </c>
      <c r="I59" s="100" t="s">
        <v>117</v>
      </c>
      <c r="J59" s="100">
        <v>4</v>
      </c>
      <c r="K59" s="101">
        <f>H59*J59*250</f>
        <v>10000</v>
      </c>
    </row>
    <row r="60" spans="1:11">
      <c r="A60" s="84"/>
      <c r="B60" s="84"/>
      <c r="C60" s="84"/>
      <c r="D60" s="84"/>
      <c r="E60" s="84"/>
      <c r="G60" s="7" t="s">
        <v>2</v>
      </c>
      <c r="H60" s="8" t="s">
        <v>118</v>
      </c>
      <c r="I60" s="8" t="s">
        <v>3</v>
      </c>
      <c r="J60" s="8" t="s">
        <v>4</v>
      </c>
      <c r="K60" s="9" t="s">
        <v>5</v>
      </c>
    </row>
    <row r="61" spans="1:11">
      <c r="A61" s="84"/>
      <c r="B61" s="84"/>
      <c r="C61" s="84"/>
      <c r="D61" s="84"/>
      <c r="E61" s="84"/>
      <c r="G61" s="75" t="str">
        <f>A5</f>
        <v>Management</v>
      </c>
      <c r="H61" s="12">
        <v>77.328424472822888</v>
      </c>
      <c r="I61" s="11">
        <f>B5</f>
        <v>58864</v>
      </c>
      <c r="J61" s="12">
        <v>0.13337346528874841</v>
      </c>
      <c r="K61" s="13">
        <f>I61*J61</f>
        <v>7850.8956607568862</v>
      </c>
    </row>
    <row r="62" spans="1:11">
      <c r="A62" s="84"/>
      <c r="B62" s="84"/>
      <c r="C62" s="84"/>
      <c r="D62" s="84"/>
      <c r="E62" s="85"/>
      <c r="G62" s="77" t="s">
        <v>7</v>
      </c>
      <c r="H62" s="12">
        <v>3</v>
      </c>
      <c r="I62" s="11">
        <f>B8</f>
        <v>32311</v>
      </c>
      <c r="J62" s="12">
        <v>3.33</v>
      </c>
      <c r="K62" s="13">
        <f>I62*J62</f>
        <v>107595.63</v>
      </c>
    </row>
    <row r="63" spans="1:11">
      <c r="A63" s="84"/>
      <c r="B63" s="84"/>
      <c r="C63" s="84"/>
      <c r="D63" s="84"/>
      <c r="E63" s="84"/>
      <c r="G63" s="77" t="s">
        <v>121</v>
      </c>
      <c r="H63" s="12">
        <v>50</v>
      </c>
      <c r="I63" s="11">
        <f>B9</f>
        <v>38016.973423099997</v>
      </c>
      <c r="J63" s="12">
        <v>0.2</v>
      </c>
      <c r="K63" s="13">
        <f>I63*J63</f>
        <v>7603.3946846199997</v>
      </c>
    </row>
    <row r="64" spans="1:11">
      <c r="A64" s="84"/>
      <c r="B64" s="84"/>
      <c r="C64" s="84"/>
      <c r="D64" s="84"/>
      <c r="E64" s="84"/>
      <c r="G64" s="78" t="s">
        <v>184</v>
      </c>
      <c r="H64" s="79">
        <v>121.96422275526065</v>
      </c>
      <c r="I64" s="86">
        <f>B8</f>
        <v>32311</v>
      </c>
      <c r="J64" s="79">
        <v>0.08</v>
      </c>
      <c r="K64" s="25">
        <f t="shared" ref="K64" si="1">I64*J64</f>
        <v>2584.88</v>
      </c>
    </row>
    <row r="65" spans="1:11">
      <c r="A65" s="84"/>
      <c r="B65" s="84"/>
      <c r="C65" s="84"/>
      <c r="D65" s="84"/>
      <c r="E65" s="84"/>
      <c r="G65" s="19" t="s">
        <v>8</v>
      </c>
      <c r="H65" s="20"/>
      <c r="I65" s="14"/>
      <c r="J65" s="12">
        <f>SUM(J61:J64)</f>
        <v>3.7433734652887489</v>
      </c>
      <c r="K65" s="13">
        <f>SUM(K61:K64)</f>
        <v>125634.80034537689</v>
      </c>
    </row>
    <row r="66" spans="1:11">
      <c r="A66" s="84"/>
      <c r="B66" s="84"/>
      <c r="C66" s="84"/>
      <c r="D66" s="84"/>
      <c r="E66" s="84"/>
      <c r="G66" s="19"/>
      <c r="H66" s="20"/>
      <c r="I66" s="20"/>
      <c r="J66" s="20"/>
      <c r="K66" s="21"/>
    </row>
    <row r="67" spans="1:11">
      <c r="A67" s="84"/>
      <c r="B67" s="84"/>
      <c r="C67" s="84"/>
      <c r="D67" s="84"/>
      <c r="E67" s="84"/>
      <c r="G67" s="22" t="s">
        <v>9</v>
      </c>
      <c r="H67" s="24"/>
      <c r="I67" s="23">
        <v>0.23</v>
      </c>
      <c r="J67" s="24"/>
      <c r="K67" s="25">
        <f>I67*K65</f>
        <v>28896.004079436687</v>
      </c>
    </row>
    <row r="68" spans="1:11" ht="15.75" thickBot="1">
      <c r="A68" s="84"/>
      <c r="B68" s="84"/>
      <c r="C68" s="84"/>
      <c r="D68" s="84"/>
      <c r="E68" s="84"/>
      <c r="G68" s="26" t="s">
        <v>10</v>
      </c>
      <c r="H68" s="81"/>
      <c r="I68" s="27"/>
      <c r="J68" s="27"/>
      <c r="K68" s="28">
        <f>K65+K67</f>
        <v>154530.80442481357</v>
      </c>
    </row>
    <row r="69" spans="1:11" ht="15.75" thickTop="1">
      <c r="A69" s="84"/>
      <c r="B69" s="84"/>
      <c r="C69" s="84"/>
      <c r="D69" s="84"/>
      <c r="E69" s="84"/>
      <c r="G69" s="19"/>
      <c r="H69" s="20"/>
      <c r="I69" s="14" t="s">
        <v>132</v>
      </c>
      <c r="J69" s="14" t="s">
        <v>124</v>
      </c>
      <c r="K69" s="21"/>
    </row>
    <row r="70" spans="1:11">
      <c r="A70" s="84"/>
      <c r="B70" s="84"/>
      <c r="C70" s="84"/>
      <c r="D70" s="84"/>
      <c r="E70" s="84"/>
      <c r="G70" s="19" t="s">
        <v>122</v>
      </c>
      <c r="H70" s="238">
        <v>0.3</v>
      </c>
      <c r="I70" s="267">
        <v>80.92</v>
      </c>
      <c r="J70" s="83"/>
      <c r="K70" s="74">
        <f>H70*H59*I70*50</f>
        <v>12138</v>
      </c>
    </row>
    <row r="71" spans="1:11">
      <c r="A71" s="84"/>
      <c r="B71" s="84"/>
      <c r="C71" s="84"/>
      <c r="D71" s="84"/>
      <c r="E71" s="84"/>
      <c r="G71" s="29" t="s">
        <v>119</v>
      </c>
      <c r="H71" s="82"/>
      <c r="I71" s="237"/>
      <c r="J71" s="11">
        <f>B12</f>
        <v>6123</v>
      </c>
      <c r="K71" s="74">
        <f>J65*J71</f>
        <v>22920.675727963011</v>
      </c>
    </row>
    <row r="72" spans="1:11">
      <c r="A72" s="84"/>
      <c r="B72" s="84"/>
      <c r="C72" s="84"/>
      <c r="D72" s="84"/>
      <c r="E72" s="84"/>
      <c r="G72" s="29" t="s">
        <v>125</v>
      </c>
      <c r="H72" s="82"/>
      <c r="I72" s="95">
        <f t="shared" ref="I72:I74" si="2">I43</f>
        <v>0.54</v>
      </c>
      <c r="J72" s="83"/>
      <c r="K72" s="74">
        <f>I72*K59</f>
        <v>5400</v>
      </c>
    </row>
    <row r="73" spans="1:11">
      <c r="A73" s="84"/>
      <c r="B73" s="84"/>
      <c r="C73" s="84"/>
      <c r="D73" s="84"/>
      <c r="E73" s="84"/>
      <c r="G73" s="29" t="s">
        <v>126</v>
      </c>
      <c r="H73" s="82"/>
      <c r="I73" s="95">
        <f t="shared" si="2"/>
        <v>0.08</v>
      </c>
      <c r="J73" s="83"/>
      <c r="K73" s="74">
        <f>I73*K59</f>
        <v>800</v>
      </c>
    </row>
    <row r="74" spans="1:11" ht="15.75" thickBot="1">
      <c r="A74" s="84"/>
      <c r="B74" s="84"/>
      <c r="C74" s="84"/>
      <c r="D74" s="84"/>
      <c r="E74" s="84"/>
      <c r="G74" s="29" t="s">
        <v>127</v>
      </c>
      <c r="H74" s="20"/>
      <c r="I74" s="95">
        <f t="shared" si="2"/>
        <v>1.47</v>
      </c>
      <c r="J74" s="14"/>
      <c r="K74" s="97">
        <f>(I74*J59)*250</f>
        <v>1470</v>
      </c>
    </row>
    <row r="75" spans="1:11" ht="15.75" thickTop="1">
      <c r="A75" s="84"/>
      <c r="B75" s="84"/>
      <c r="C75" s="84"/>
      <c r="D75" s="84"/>
      <c r="E75" s="84"/>
      <c r="G75" s="19"/>
      <c r="H75" s="20"/>
      <c r="I75" s="20"/>
      <c r="J75" s="20"/>
      <c r="K75" s="13">
        <f>SUM(K70:K74)</f>
        <v>42728.675727963011</v>
      </c>
    </row>
    <row r="76" spans="1:11" ht="15.75" thickBot="1">
      <c r="A76" s="84"/>
      <c r="B76" s="84"/>
      <c r="C76" s="84"/>
      <c r="D76" s="84"/>
      <c r="E76" s="84"/>
      <c r="G76" s="31" t="s">
        <v>11</v>
      </c>
      <c r="H76" s="27"/>
      <c r="I76" s="27"/>
      <c r="J76" s="27"/>
      <c r="K76" s="28">
        <f>K75+K68</f>
        <v>197259.48015277658</v>
      </c>
    </row>
    <row r="77" spans="1:11" ht="15.75" thickTop="1">
      <c r="A77" s="84"/>
      <c r="B77" s="84"/>
      <c r="C77" s="84"/>
      <c r="D77" s="84"/>
      <c r="E77" s="84"/>
      <c r="G77" s="19"/>
      <c r="H77" s="20"/>
      <c r="I77" s="20"/>
      <c r="J77" s="20"/>
      <c r="K77" s="21"/>
    </row>
    <row r="78" spans="1:11">
      <c r="A78" s="87"/>
      <c r="B78" s="87"/>
      <c r="C78" s="87"/>
      <c r="D78" s="87"/>
      <c r="E78" s="84"/>
      <c r="G78" s="22" t="s">
        <v>12</v>
      </c>
      <c r="H78" s="24"/>
      <c r="I78" s="23">
        <v>0.125</v>
      </c>
      <c r="J78" s="24"/>
      <c r="K78" s="25">
        <f>(K76)*I78</f>
        <v>24657.435019097073</v>
      </c>
    </row>
    <row r="79" spans="1:11">
      <c r="A79" s="84"/>
      <c r="B79" s="84"/>
      <c r="C79" s="84"/>
      <c r="D79" s="84"/>
      <c r="E79" s="84"/>
      <c r="G79" s="19" t="s">
        <v>129</v>
      </c>
      <c r="H79" s="32"/>
      <c r="I79" s="32"/>
      <c r="J79" s="32"/>
      <c r="K79" s="13">
        <f>K76+K78</f>
        <v>221916.91517187364</v>
      </c>
    </row>
    <row r="80" spans="1:11">
      <c r="A80" s="84"/>
      <c r="B80" s="84"/>
      <c r="C80" s="84"/>
      <c r="D80" s="84"/>
      <c r="E80" s="84"/>
      <c r="G80" s="19" t="s">
        <v>16</v>
      </c>
      <c r="H80" s="20"/>
      <c r="I80" s="35">
        <f>I52</f>
        <v>1.4200561009817744E-2</v>
      </c>
      <c r="J80" s="34"/>
      <c r="K80" s="13">
        <f>K79*I80</f>
        <v>3151.3446930087407</v>
      </c>
    </row>
    <row r="81" spans="1:11" ht="15.75" thickBot="1">
      <c r="A81" s="108"/>
      <c r="B81" s="108"/>
      <c r="C81" s="108"/>
      <c r="D81" s="108"/>
      <c r="E81" s="84"/>
      <c r="G81" s="123" t="s">
        <v>134</v>
      </c>
      <c r="H81" s="125"/>
      <c r="I81" s="129">
        <f>I53</f>
        <v>6.3E-3</v>
      </c>
      <c r="J81" s="125"/>
      <c r="K81" s="126">
        <f>K65*(I80+1)*I81</f>
        <v>802.7389754536174</v>
      </c>
    </row>
    <row r="82" spans="1:11" ht="15.75" thickTop="1">
      <c r="E82" s="87"/>
      <c r="G82" s="3" t="s">
        <v>13</v>
      </c>
      <c r="H82" s="20"/>
      <c r="I82" s="20"/>
      <c r="J82" s="20"/>
      <c r="K82" s="13">
        <f>K79+K80+K81</f>
        <v>225870.99884033602</v>
      </c>
    </row>
    <row r="83" spans="1:11" ht="15.75" thickBot="1">
      <c r="E83" s="84"/>
      <c r="G83" s="19" t="s">
        <v>14</v>
      </c>
      <c r="H83" s="20"/>
      <c r="I83" s="20"/>
      <c r="J83" s="20"/>
      <c r="K83" s="121">
        <f>K82/K59</f>
        <v>22.587099884033602</v>
      </c>
    </row>
    <row r="84" spans="1:11" ht="15.75" thickBot="1">
      <c r="E84" s="84"/>
      <c r="G84" s="36" t="s">
        <v>15</v>
      </c>
      <c r="H84" s="120"/>
      <c r="I84" s="93"/>
      <c r="J84" s="120"/>
      <c r="K84" s="122">
        <f>K83*0.25</f>
        <v>5.6467749710084005</v>
      </c>
    </row>
    <row r="85" spans="1:11">
      <c r="E85" s="108"/>
    </row>
    <row r="89" spans="1:11">
      <c r="G89" s="112"/>
    </row>
    <row r="91" spans="1:11">
      <c r="I91" s="110">
        <f>(5.99-5.45)/5.45</f>
        <v>9.9082568807339455E-2</v>
      </c>
    </row>
  </sheetData>
  <mergeCells count="7">
    <mergeCell ref="G58:K58"/>
    <mergeCell ref="G1:K1"/>
    <mergeCell ref="A3:C3"/>
    <mergeCell ref="G3:K3"/>
    <mergeCell ref="A4:B4"/>
    <mergeCell ref="A10:B10"/>
    <mergeCell ref="G31:K31"/>
  </mergeCells>
  <pageMargins left="0.7" right="0.7" top="0.75" bottom="0.75" header="0.3" footer="0.3"/>
  <pageSetup fitToHeight="0" orientation="landscape" r:id="rId1"/>
  <rowBreaks count="1" manualBreakCount="1">
    <brk id="29" max="16383" man="1"/>
  </rowBreaks>
  <ignoredErrors>
    <ignoredError sqref="K45:K46 K48 K50:K52 K54:K56" evalError="1"/>
    <ignoredError sqref="K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10" workbookViewId="0">
      <selection activeCell="O12" sqref="O12"/>
    </sheetView>
  </sheetViews>
  <sheetFormatPr defaultRowHeight="15" customHeight="1"/>
  <cols>
    <col min="1" max="1" width="11.28515625" style="183" customWidth="1"/>
    <col min="2" max="2" width="11.5703125" customWidth="1"/>
    <col min="3" max="3" width="10.5703125" customWidth="1"/>
    <col min="4" max="4" width="10.28515625" customWidth="1"/>
    <col min="5" max="5" width="9.85546875" customWidth="1"/>
    <col min="10" max="10" width="10.28515625" customWidth="1"/>
  </cols>
  <sheetData>
    <row r="1" spans="1:15" ht="19.5" customHeight="1">
      <c r="A1" s="162" t="s">
        <v>153</v>
      </c>
    </row>
    <row r="2" spans="1:15" ht="15" customHeight="1">
      <c r="A2" s="163"/>
      <c r="C2" s="164"/>
      <c r="D2" s="164"/>
    </row>
    <row r="4" spans="1:15" ht="15" customHeight="1">
      <c r="A4" s="165" t="s">
        <v>154</v>
      </c>
      <c r="B4" s="166"/>
      <c r="C4" s="167"/>
      <c r="D4" s="168"/>
      <c r="E4" s="106"/>
      <c r="F4" t="s">
        <v>182</v>
      </c>
      <c r="G4" s="106"/>
      <c r="H4" s="164" t="s">
        <v>186</v>
      </c>
      <c r="K4" t="s">
        <v>24</v>
      </c>
    </row>
    <row r="5" spans="1:15" ht="15" customHeight="1">
      <c r="A5" s="169"/>
      <c r="B5" s="170"/>
      <c r="C5" s="171"/>
      <c r="D5" s="168"/>
      <c r="E5" s="106"/>
      <c r="F5" s="172">
        <f>'CAF Fall 2018'!BQ26</f>
        <v>1.4200561009817744E-2</v>
      </c>
      <c r="G5" s="173"/>
      <c r="H5" s="174">
        <f>Models!I81</f>
        <v>6.3E-3</v>
      </c>
      <c r="K5" t="s">
        <v>130</v>
      </c>
    </row>
    <row r="6" spans="1:15" ht="27" customHeight="1">
      <c r="A6" s="175"/>
      <c r="B6" s="176" t="s">
        <v>3</v>
      </c>
      <c r="C6" s="177" t="s">
        <v>185</v>
      </c>
      <c r="D6" s="178" t="s">
        <v>155</v>
      </c>
      <c r="E6" s="179" t="s">
        <v>156</v>
      </c>
      <c r="F6" s="178" t="s">
        <v>155</v>
      </c>
      <c r="G6" s="179" t="s">
        <v>156</v>
      </c>
      <c r="H6" s="178" t="s">
        <v>155</v>
      </c>
      <c r="I6" s="179" t="s">
        <v>156</v>
      </c>
      <c r="J6" s="178" t="s">
        <v>155</v>
      </c>
      <c r="K6" s="179" t="s">
        <v>156</v>
      </c>
    </row>
    <row r="7" spans="1:15" ht="15" customHeight="1">
      <c r="A7" s="180" t="s">
        <v>110</v>
      </c>
      <c r="B7" s="181">
        <v>29850</v>
      </c>
      <c r="C7" s="181">
        <f>B7*(Models!B11+1)</f>
        <v>36715.5</v>
      </c>
      <c r="D7" s="182">
        <f>C7/2080</f>
        <v>17.651682692307691</v>
      </c>
      <c r="E7" s="182">
        <f>D7/4</f>
        <v>4.4129206730769228</v>
      </c>
      <c r="F7" s="182">
        <f>D7*(1+F5)-0.01</f>
        <v>17.892346489305748</v>
      </c>
      <c r="G7" s="219">
        <f>F7*0.25</f>
        <v>4.4730866223264369</v>
      </c>
      <c r="H7" s="219">
        <f>B7*(F5+1)*H5/2080</f>
        <v>9.1694945433029459E-2</v>
      </c>
      <c r="I7" s="219">
        <f>H7*0.25</f>
        <v>2.2923736358257365E-2</v>
      </c>
      <c r="J7" s="219">
        <f>F7+H7</f>
        <v>17.984041434738778</v>
      </c>
      <c r="K7" s="220">
        <f>J7*0.25</f>
        <v>4.4960103586846945</v>
      </c>
      <c r="O7" s="234"/>
    </row>
    <row r="8" spans="1:15" s="217" customFormat="1" ht="15" customHeight="1">
      <c r="A8" s="214"/>
      <c r="B8" s="215"/>
      <c r="C8" s="215"/>
      <c r="D8" s="187"/>
      <c r="E8" s="187"/>
      <c r="F8" s="187"/>
      <c r="G8" s="187"/>
      <c r="H8" s="187"/>
      <c r="I8" s="216"/>
      <c r="K8" s="218"/>
    </row>
    <row r="9" spans="1:15" s="217" customFormat="1" ht="15" customHeight="1">
      <c r="A9" s="214"/>
      <c r="B9" s="215"/>
      <c r="C9" s="215"/>
      <c r="D9" s="187"/>
      <c r="E9" s="187"/>
      <c r="F9" s="187"/>
      <c r="G9" s="187"/>
      <c r="H9" s="187"/>
      <c r="I9" s="216"/>
      <c r="K9" s="218"/>
    </row>
    <row r="10" spans="1:15" ht="15" customHeight="1">
      <c r="A10" s="165" t="s">
        <v>206</v>
      </c>
      <c r="B10" s="166"/>
      <c r="C10" s="167"/>
      <c r="D10" s="168"/>
      <c r="E10" s="106"/>
      <c r="F10" t="s">
        <v>182</v>
      </c>
      <c r="G10" s="106"/>
      <c r="H10" s="164" t="s">
        <v>186</v>
      </c>
      <c r="K10" t="s">
        <v>24</v>
      </c>
    </row>
    <row r="11" spans="1:15" ht="15" customHeight="1">
      <c r="A11" s="169"/>
      <c r="B11" s="170"/>
      <c r="C11" s="171"/>
      <c r="D11" s="168"/>
      <c r="E11" s="106"/>
      <c r="F11" s="172">
        <f>F5</f>
        <v>1.4200561009817744E-2</v>
      </c>
      <c r="G11" s="173"/>
      <c r="H11" s="174">
        <f>H5</f>
        <v>6.3E-3</v>
      </c>
      <c r="K11" t="s">
        <v>130</v>
      </c>
    </row>
    <row r="12" spans="1:15" ht="27" customHeight="1">
      <c r="A12" s="175"/>
      <c r="B12" s="176" t="s">
        <v>3</v>
      </c>
      <c r="C12" s="177" t="s">
        <v>185</v>
      </c>
      <c r="D12" s="178" t="s">
        <v>155</v>
      </c>
      <c r="E12" s="179" t="s">
        <v>156</v>
      </c>
      <c r="F12" s="178" t="s">
        <v>155</v>
      </c>
      <c r="G12" s="179" t="s">
        <v>156</v>
      </c>
      <c r="H12" s="178" t="s">
        <v>155</v>
      </c>
      <c r="I12" s="179" t="s">
        <v>156</v>
      </c>
      <c r="J12" s="178" t="s">
        <v>155</v>
      </c>
      <c r="K12" s="179" t="s">
        <v>156</v>
      </c>
    </row>
    <row r="13" spans="1:15" ht="15" customHeight="1">
      <c r="A13" s="180" t="s">
        <v>110</v>
      </c>
      <c r="B13" s="181">
        <v>37952</v>
      </c>
      <c r="C13" s="181">
        <f>B13*(Models!B11+1)</f>
        <v>46680.959999999999</v>
      </c>
      <c r="D13" s="182">
        <f>C13/2080</f>
        <v>22.44276923076923</v>
      </c>
      <c r="E13" s="182">
        <f>D13/4</f>
        <v>5.6106923076923074</v>
      </c>
      <c r="F13" s="182">
        <f>D13*(1+F11)</f>
        <v>22.761469144460026</v>
      </c>
      <c r="G13" s="219">
        <f>F13*0.25</f>
        <v>5.6903672861150065</v>
      </c>
      <c r="H13" s="219">
        <f>B13*(F11+1)*H11/2080</f>
        <v>0.11658313464235626</v>
      </c>
      <c r="I13" s="219">
        <f>H13*0.25</f>
        <v>2.9145783660589064E-2</v>
      </c>
      <c r="J13" s="219">
        <f>F13+H13-0.01</f>
        <v>22.868052279102383</v>
      </c>
      <c r="K13" s="220">
        <f>J13*0.25</f>
        <v>5.7170130697755956</v>
      </c>
    </row>
    <row r="14" spans="1:15" ht="15" customHeight="1">
      <c r="A14" s="184"/>
      <c r="B14" s="185"/>
      <c r="D14" s="10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15" ht="15" customHeight="1">
      <c r="A15" s="184"/>
      <c r="B15" s="185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5" ht="15" customHeight="1">
      <c r="B16" s="91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9" spans="6:6" ht="15" customHeight="1">
      <c r="F19" s="103"/>
    </row>
  </sheetData>
  <pageMargins left="0.17" right="0.2" top="0.37" bottom="0.24" header="0.3" footer="0.3"/>
  <pageSetup scale="93" orientation="portrait" r:id="rId1"/>
  <ignoredErrors>
    <ignoredError sqref="J7 H7 J13 H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7"/>
  <sheetViews>
    <sheetView workbookViewId="0">
      <selection activeCell="M13" sqref="M13"/>
    </sheetView>
  </sheetViews>
  <sheetFormatPr defaultRowHeight="15"/>
  <cols>
    <col min="1" max="1" width="7.85546875" customWidth="1"/>
    <col min="2" max="3" width="12.7109375" customWidth="1"/>
    <col min="4" max="4" width="12" customWidth="1"/>
    <col min="5" max="5" width="15" customWidth="1"/>
    <col min="6" max="6" width="11.28515625" customWidth="1"/>
    <col min="7" max="7" width="11.140625" customWidth="1"/>
    <col min="8" max="8" width="12.7109375" customWidth="1"/>
    <col min="9" max="9" width="10.7109375" customWidth="1"/>
    <col min="10" max="10" width="10.85546875" customWidth="1"/>
    <col min="16" max="16" width="11.5703125" customWidth="1"/>
    <col min="17" max="17" width="15.42578125" customWidth="1"/>
    <col min="18" max="18" width="10.140625" customWidth="1"/>
    <col min="19" max="19" width="7.5703125" customWidth="1"/>
  </cols>
  <sheetData>
    <row r="1" spans="2:9" ht="16.5" customHeight="1" thickBot="1">
      <c r="B1" s="346" t="s">
        <v>192</v>
      </c>
      <c r="C1" s="347"/>
      <c r="D1" s="347"/>
      <c r="E1" s="347"/>
      <c r="F1" s="347"/>
      <c r="G1" s="347"/>
      <c r="H1" s="348"/>
    </row>
    <row r="2" spans="2:9" ht="15.75" thickBot="1">
      <c r="B2" s="239" t="s">
        <v>193</v>
      </c>
      <c r="C2" s="102"/>
      <c r="D2" s="102"/>
      <c r="E2" s="102"/>
      <c r="F2" s="102"/>
      <c r="G2" s="102"/>
      <c r="H2" s="105"/>
    </row>
    <row r="3" spans="2:9" ht="27" thickBot="1">
      <c r="B3" s="240" t="s">
        <v>194</v>
      </c>
      <c r="C3" s="241" t="s">
        <v>195</v>
      </c>
      <c r="D3" s="242" t="s">
        <v>196</v>
      </c>
      <c r="E3" s="102"/>
      <c r="F3" s="349" t="s">
        <v>203</v>
      </c>
      <c r="G3" s="350"/>
      <c r="H3" s="105"/>
    </row>
    <row r="4" spans="2:9">
      <c r="B4" s="295">
        <v>0.45</v>
      </c>
      <c r="C4" s="257">
        <v>5</v>
      </c>
      <c r="D4" s="258">
        <f>B4*C4</f>
        <v>2.25</v>
      </c>
      <c r="E4" s="102"/>
      <c r="F4" s="243" t="s">
        <v>157</v>
      </c>
      <c r="G4" s="244">
        <f>D7</f>
        <v>2.4201190026416106</v>
      </c>
      <c r="H4" s="105"/>
    </row>
    <row r="5" spans="2:9">
      <c r="B5" s="295" t="s">
        <v>197</v>
      </c>
      <c r="C5" s="253"/>
      <c r="D5" s="258">
        <f>D4*(1+'[1]1. 3168 ISE'!C54)</f>
        <v>2.3215928903525764</v>
      </c>
      <c r="E5" s="102"/>
      <c r="F5" s="245" t="s">
        <v>198</v>
      </c>
      <c r="G5" s="246">
        <f>C12</f>
        <v>4.9387447508557694</v>
      </c>
      <c r="H5" s="105"/>
    </row>
    <row r="6" spans="2:9">
      <c r="B6" s="295" t="s">
        <v>199</v>
      </c>
      <c r="C6" s="253"/>
      <c r="D6" s="258">
        <f>D5*(1+'[1]Spring CAF'!BK27)</f>
        <v>2.3848236131667431</v>
      </c>
      <c r="E6" s="102"/>
      <c r="F6" s="243" t="s">
        <v>158</v>
      </c>
      <c r="G6" s="259">
        <f>SUM(G4:G5)</f>
        <v>7.3588637534973795</v>
      </c>
      <c r="H6" s="105"/>
    </row>
    <row r="7" spans="2:9" ht="15.75" thickBot="1">
      <c r="B7" s="295" t="s">
        <v>182</v>
      </c>
      <c r="C7" s="253"/>
      <c r="D7" s="258">
        <f>D6*(1.48%+1)</f>
        <v>2.4201190026416106</v>
      </c>
      <c r="E7" s="102"/>
      <c r="F7" s="247" t="s">
        <v>200</v>
      </c>
      <c r="G7" s="248">
        <f>G6*4+0.02</f>
        <v>29.455455013989518</v>
      </c>
      <c r="H7" s="105"/>
      <c r="I7" s="146"/>
    </row>
    <row r="8" spans="2:9" ht="15.75" thickTop="1">
      <c r="B8" s="254" t="s">
        <v>201</v>
      </c>
      <c r="C8" s="217"/>
      <c r="D8" s="217"/>
      <c r="E8" s="102"/>
      <c r="F8" s="102"/>
      <c r="G8" s="102"/>
      <c r="H8" s="105"/>
    </row>
    <row r="9" spans="2:9">
      <c r="B9" s="271" t="s">
        <v>202</v>
      </c>
      <c r="C9" s="219">
        <v>4.600879410174354</v>
      </c>
      <c r="D9" s="217"/>
      <c r="E9" s="102"/>
      <c r="F9" s="102"/>
      <c r="G9" s="102"/>
      <c r="H9" s="105"/>
      <c r="I9" s="161"/>
    </row>
    <row r="10" spans="2:9">
      <c r="B10" s="271" t="s">
        <v>197</v>
      </c>
      <c r="C10" s="219">
        <f>C9*(1+'[1]1. 3168 ISE'!C54)</f>
        <v>4.7472750791245941</v>
      </c>
      <c r="D10" s="187"/>
      <c r="E10" s="249"/>
      <c r="F10" s="102"/>
      <c r="G10" s="102"/>
      <c r="H10" s="105"/>
    </row>
    <row r="11" spans="2:9">
      <c r="B11" s="271" t="s">
        <v>199</v>
      </c>
      <c r="C11" s="219">
        <f>C10*(1+'[1]Spring CAF'!BK27)</f>
        <v>4.8765714927628787</v>
      </c>
      <c r="D11" s="217"/>
      <c r="E11" s="102"/>
      <c r="F11" s="102"/>
      <c r="G11" s="102"/>
      <c r="H11" s="105"/>
    </row>
    <row r="12" spans="2:9">
      <c r="B12" s="271" t="s">
        <v>182</v>
      </c>
      <c r="C12" s="219">
        <f>C11*(1.48%+1)-0.01</f>
        <v>4.9387447508557694</v>
      </c>
      <c r="D12" s="217"/>
      <c r="E12" s="102"/>
      <c r="F12" s="102"/>
      <c r="G12" s="102"/>
      <c r="H12" s="105"/>
    </row>
    <row r="13" spans="2:9">
      <c r="B13" s="256"/>
      <c r="C13" s="217"/>
      <c r="D13" s="217"/>
      <c r="E13" s="102"/>
      <c r="F13" s="102"/>
      <c r="G13" s="102"/>
      <c r="H13" s="105"/>
    </row>
    <row r="14" spans="2:9">
      <c r="B14" s="104"/>
      <c r="C14" s="102"/>
      <c r="D14" s="102"/>
      <c r="E14" s="102"/>
      <c r="F14" s="102"/>
      <c r="G14" s="102"/>
      <c r="H14" s="105"/>
    </row>
    <row r="15" spans="2:9">
      <c r="B15" s="104"/>
      <c r="C15" s="102"/>
      <c r="D15" s="102"/>
      <c r="E15" s="102"/>
      <c r="F15" s="102"/>
      <c r="G15" s="102"/>
      <c r="H15" s="105"/>
    </row>
    <row r="16" spans="2:9" ht="15.75" thickBot="1">
      <c r="B16" s="250"/>
      <c r="C16" s="251"/>
      <c r="D16" s="251"/>
      <c r="E16" s="251"/>
      <c r="F16" s="251"/>
      <c r="G16" s="251"/>
      <c r="H16" s="252"/>
    </row>
    <row r="20" spans="1:3" s="217" customFormat="1"/>
    <row r="21" spans="1:3" s="217" customFormat="1" ht="26.25">
      <c r="A21" s="273"/>
    </row>
    <row r="22" spans="1:3" s="217" customFormat="1"/>
    <row r="23" spans="1:3" s="217" customFormat="1" ht="18.75">
      <c r="A23" s="274"/>
    </row>
    <row r="24" spans="1:3" s="217" customFormat="1"/>
    <row r="25" spans="1:3" s="217" customFormat="1">
      <c r="A25" s="275"/>
    </row>
    <row r="26" spans="1:3" s="217" customFormat="1">
      <c r="B26" s="276"/>
    </row>
    <row r="27" spans="1:3" s="217" customFormat="1" ht="34.5" customHeight="1">
      <c r="B27" s="280"/>
      <c r="C27" s="184"/>
    </row>
    <row r="28" spans="1:3" s="217" customFormat="1">
      <c r="C28" s="281"/>
    </row>
    <row r="29" spans="1:3" s="217" customFormat="1"/>
    <row r="30" spans="1:3" s="217" customFormat="1"/>
    <row r="31" spans="1:3" s="217" customFormat="1" ht="21">
      <c r="A31" s="277"/>
    </row>
    <row r="32" spans="1:3" s="217" customFormat="1" ht="26.25" customHeight="1"/>
    <row r="33" spans="1:17" s="217" customFormat="1" ht="33" customHeight="1"/>
    <row r="34" spans="1:17" s="217" customFormat="1">
      <c r="C34" s="184"/>
      <c r="D34" s="184"/>
      <c r="E34" s="184"/>
      <c r="G34" s="184"/>
    </row>
    <row r="35" spans="1:17" s="217" customFormat="1">
      <c r="B35" s="282"/>
      <c r="C35" s="282"/>
      <c r="D35" s="280"/>
      <c r="E35" s="280"/>
      <c r="F35" s="280"/>
      <c r="G35" s="280"/>
      <c r="H35" s="272"/>
      <c r="I35" s="272"/>
      <c r="O35" s="268"/>
      <c r="P35" s="269"/>
      <c r="Q35" s="269"/>
    </row>
    <row r="36" spans="1:17" s="217" customFormat="1">
      <c r="B36" s="187"/>
      <c r="C36" s="187"/>
      <c r="D36" s="187"/>
      <c r="E36" s="187"/>
      <c r="F36" s="187"/>
      <c r="G36" s="187"/>
      <c r="O36" s="268"/>
      <c r="P36" s="268"/>
      <c r="Q36" s="268"/>
    </row>
    <row r="37" spans="1:17" s="217" customFormat="1">
      <c r="B37" s="187"/>
      <c r="C37" s="187"/>
      <c r="D37" s="187"/>
      <c r="E37" s="187"/>
      <c r="F37" s="187"/>
      <c r="G37" s="187"/>
      <c r="O37" s="268"/>
      <c r="P37" s="268"/>
      <c r="Q37" s="268"/>
    </row>
    <row r="38" spans="1:17" s="217" customFormat="1">
      <c r="B38" s="187"/>
      <c r="C38" s="283"/>
      <c r="D38" s="283"/>
      <c r="E38" s="187"/>
      <c r="F38" s="283"/>
      <c r="G38" s="187"/>
      <c r="O38" s="268"/>
      <c r="P38" s="268"/>
      <c r="Q38" s="268"/>
    </row>
    <row r="39" spans="1:17" s="217" customFormat="1">
      <c r="B39" s="187"/>
      <c r="C39" s="187"/>
      <c r="D39" s="187"/>
      <c r="E39" s="187"/>
      <c r="F39" s="187"/>
      <c r="G39" s="187"/>
      <c r="O39" s="268"/>
      <c r="P39" s="268"/>
      <c r="Q39" s="268"/>
    </row>
    <row r="40" spans="1:17" s="217" customFormat="1">
      <c r="C40" s="270"/>
      <c r="D40" s="270"/>
      <c r="O40" s="268"/>
      <c r="P40" s="268"/>
      <c r="Q40" s="268"/>
    </row>
    <row r="41" spans="1:17" s="217" customFormat="1">
      <c r="C41" s="270"/>
      <c r="D41" s="270"/>
      <c r="O41" s="268"/>
      <c r="P41" s="268"/>
      <c r="Q41" s="268"/>
    </row>
    <row r="42" spans="1:17" s="217" customFormat="1" ht="18.75">
      <c r="A42" s="278"/>
    </row>
    <row r="43" spans="1:17" s="217" customFormat="1" ht="12" customHeight="1">
      <c r="A43" s="278"/>
    </row>
    <row r="44" spans="1:17" s="217" customFormat="1">
      <c r="B44" s="184"/>
      <c r="C44" s="184"/>
      <c r="D44" s="184"/>
    </row>
    <row r="45" spans="1:17" s="217" customFormat="1">
      <c r="B45" s="282"/>
      <c r="C45" s="282"/>
      <c r="D45" s="282"/>
    </row>
    <row r="46" spans="1:17" s="217" customFormat="1">
      <c r="A46" s="187"/>
      <c r="B46" s="284"/>
      <c r="C46" s="284"/>
      <c r="D46" s="284"/>
      <c r="F46" s="272"/>
    </row>
    <row r="47" spans="1:17" s="217" customFormat="1">
      <c r="A47" s="187"/>
      <c r="B47" s="284"/>
      <c r="C47" s="284"/>
      <c r="D47" s="284"/>
    </row>
    <row r="48" spans="1:17" s="217" customFormat="1">
      <c r="A48" s="187"/>
      <c r="B48" s="284"/>
      <c r="C48" s="284"/>
      <c r="D48" s="284"/>
    </row>
    <row r="49" spans="1:11" s="217" customFormat="1">
      <c r="A49" s="187"/>
      <c r="B49" s="284"/>
      <c r="C49" s="284"/>
      <c r="D49" s="284"/>
    </row>
    <row r="50" spans="1:11" s="217" customFormat="1">
      <c r="D50" s="187"/>
    </row>
    <row r="51" spans="1:11" s="217" customFormat="1">
      <c r="D51" s="187"/>
    </row>
    <row r="52" spans="1:11" s="217" customFormat="1">
      <c r="D52" s="187"/>
    </row>
    <row r="53" spans="1:11" s="217" customFormat="1" ht="18.75">
      <c r="A53" s="278"/>
      <c r="H53" s="278"/>
    </row>
    <row r="54" spans="1:11" s="217" customFormat="1"/>
    <row r="55" spans="1:11" s="217" customFormat="1" ht="33" customHeight="1"/>
    <row r="56" spans="1:11" s="217" customFormat="1"/>
    <row r="57" spans="1:11" s="217" customFormat="1"/>
    <row r="58" spans="1:11" s="217" customFormat="1">
      <c r="B58" s="285"/>
      <c r="C58" s="285"/>
      <c r="H58" s="286"/>
      <c r="I58" s="287"/>
      <c r="J58" s="184"/>
      <c r="K58" s="288"/>
    </row>
    <row r="59" spans="1:11" s="217" customFormat="1" ht="15.75">
      <c r="A59" s="289"/>
      <c r="B59" s="290"/>
      <c r="C59" s="290"/>
      <c r="H59" s="291"/>
      <c r="I59" s="215"/>
    </row>
    <row r="60" spans="1:11" s="217" customFormat="1" ht="15.75">
      <c r="A60" s="289"/>
      <c r="B60" s="290"/>
      <c r="C60" s="290"/>
      <c r="I60" s="215"/>
    </row>
    <row r="61" spans="1:11" s="217" customFormat="1" ht="15.75">
      <c r="A61" s="289"/>
      <c r="B61" s="290"/>
      <c r="C61" s="290"/>
      <c r="I61" s="215"/>
    </row>
    <row r="62" spans="1:11" s="217" customFormat="1" ht="15.75">
      <c r="A62" s="289"/>
      <c r="B62" s="290"/>
      <c r="C62" s="290"/>
      <c r="I62" s="215"/>
    </row>
    <row r="63" spans="1:11" s="217" customFormat="1">
      <c r="A63" s="292"/>
      <c r="B63" s="293"/>
      <c r="C63" s="293"/>
    </row>
    <row r="64" spans="1:11" s="217" customFormat="1">
      <c r="A64" s="292"/>
      <c r="B64" s="293"/>
      <c r="C64" s="293"/>
    </row>
    <row r="65" spans="1:6" s="217" customFormat="1"/>
    <row r="66" spans="1:6" s="217" customFormat="1" ht="18.75">
      <c r="A66" s="278"/>
    </row>
    <row r="67" spans="1:6" s="217" customFormat="1"/>
    <row r="68" spans="1:6" s="217" customFormat="1">
      <c r="C68" s="184"/>
      <c r="D68" s="184"/>
      <c r="E68" s="184"/>
      <c r="F68" s="184"/>
    </row>
    <row r="69" spans="1:6" s="217" customFormat="1">
      <c r="A69" s="184"/>
      <c r="C69" s="215"/>
      <c r="D69" s="215"/>
      <c r="E69" s="215"/>
      <c r="F69" s="215"/>
    </row>
    <row r="70" spans="1:6" s="217" customFormat="1">
      <c r="A70" s="184"/>
      <c r="C70" s="215"/>
      <c r="D70" s="215"/>
      <c r="E70" s="215"/>
      <c r="F70" s="215"/>
    </row>
    <row r="71" spans="1:6" s="217" customFormat="1"/>
    <row r="72" spans="1:6" s="217" customFormat="1"/>
    <row r="73" spans="1:6" s="217" customFormat="1">
      <c r="C73" s="184"/>
      <c r="D73" s="184"/>
      <c r="E73" s="184"/>
      <c r="F73" s="184"/>
    </row>
    <row r="74" spans="1:6" s="217" customFormat="1">
      <c r="A74" s="184"/>
      <c r="B74" s="279"/>
      <c r="C74" s="215"/>
      <c r="D74" s="215"/>
      <c r="E74" s="215"/>
      <c r="F74" s="215"/>
    </row>
    <row r="75" spans="1:6" s="217" customFormat="1">
      <c r="A75" s="184"/>
      <c r="B75" s="279"/>
      <c r="C75" s="215"/>
      <c r="D75" s="215"/>
      <c r="E75" s="215"/>
      <c r="F75" s="215"/>
    </row>
    <row r="76" spans="1:6" s="217" customFormat="1"/>
    <row r="77" spans="1:6" s="217" customFormat="1"/>
    <row r="78" spans="1:6" s="217" customFormat="1"/>
    <row r="79" spans="1:6" s="217" customFormat="1"/>
    <row r="80" spans="1:6" s="217" customFormat="1"/>
    <row r="81" s="217" customFormat="1"/>
    <row r="82" s="217" customFormat="1"/>
    <row r="83" s="217" customFormat="1"/>
    <row r="84" s="217" customFormat="1"/>
    <row r="85" s="217" customFormat="1"/>
    <row r="86" s="217" customFormat="1"/>
    <row r="87" s="217" customFormat="1"/>
    <row r="88" s="217" customFormat="1"/>
    <row r="89" s="217" customFormat="1"/>
    <row r="90" s="217" customFormat="1"/>
    <row r="91" s="217" customFormat="1"/>
    <row r="92" s="217" customFormat="1"/>
    <row r="93" s="217" customFormat="1"/>
    <row r="94" s="217" customFormat="1"/>
    <row r="95" s="217" customFormat="1"/>
    <row r="96" s="217" customFormat="1"/>
    <row r="97" s="217" customFormat="1"/>
    <row r="98" s="217" customFormat="1"/>
    <row r="99" s="217" customFormat="1"/>
    <row r="100" s="217" customFormat="1"/>
    <row r="101" s="217" customFormat="1"/>
    <row r="102" s="217" customFormat="1"/>
    <row r="103" s="217" customFormat="1"/>
    <row r="104" s="217" customFormat="1"/>
    <row r="105" s="217" customFormat="1"/>
    <row r="106" s="217" customFormat="1"/>
    <row r="107" s="217" customFormat="1"/>
    <row r="108" s="217" customFormat="1"/>
    <row r="109" s="217" customFormat="1"/>
    <row r="110" s="217" customFormat="1"/>
    <row r="111" s="217" customFormat="1"/>
    <row r="112" s="217" customFormat="1"/>
    <row r="113" s="217" customFormat="1"/>
    <row r="114" s="217" customFormat="1"/>
    <row r="115" s="217" customFormat="1"/>
    <row r="116" s="217" customFormat="1"/>
    <row r="117" s="217" customFormat="1"/>
    <row r="118" s="217" customFormat="1"/>
    <row r="119" s="217" customFormat="1"/>
    <row r="120" s="217" customFormat="1"/>
    <row r="121" s="217" customFormat="1"/>
    <row r="122" s="217" customFormat="1"/>
    <row r="123" s="217" customFormat="1"/>
    <row r="124" s="217" customFormat="1"/>
    <row r="125" s="217" customFormat="1"/>
    <row r="126" s="217" customFormat="1"/>
    <row r="127" s="217" customFormat="1"/>
    <row r="128" s="217" customFormat="1"/>
    <row r="129" s="217" customFormat="1"/>
    <row r="130" s="217" customFormat="1"/>
    <row r="131" s="217" customFormat="1"/>
    <row r="132" s="217" customFormat="1"/>
    <row r="133" s="217" customFormat="1"/>
    <row r="134" s="217" customFormat="1"/>
    <row r="135" s="217" customFormat="1"/>
    <row r="136" s="217" customFormat="1"/>
    <row r="137" s="217" customFormat="1"/>
    <row r="138" s="217" customFormat="1"/>
    <row r="139" s="217" customFormat="1"/>
    <row r="140" s="217" customFormat="1"/>
    <row r="141" s="217" customFormat="1"/>
    <row r="142" s="217" customFormat="1"/>
    <row r="143" s="217" customFormat="1"/>
    <row r="144" s="217" customFormat="1"/>
    <row r="145" s="217" customFormat="1"/>
    <row r="146" s="217" customFormat="1"/>
    <row r="147" s="217" customFormat="1"/>
    <row r="148" s="217" customFormat="1"/>
    <row r="149" s="217" customFormat="1"/>
    <row r="150" s="217" customFormat="1"/>
    <row r="151" s="217" customFormat="1"/>
    <row r="152" s="217" customFormat="1"/>
    <row r="153" s="217" customFormat="1"/>
    <row r="154" s="217" customFormat="1"/>
    <row r="155" s="217" customFormat="1"/>
    <row r="156" s="217" customFormat="1"/>
    <row r="157" s="217" customFormat="1"/>
  </sheetData>
  <mergeCells count="2">
    <mergeCell ref="B1:H1"/>
    <mergeCell ref="F3:G3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="80" zoomScaleNormal="80" workbookViewId="0">
      <selection activeCell="N34" sqref="N34"/>
    </sheetView>
  </sheetViews>
  <sheetFormatPr defaultRowHeight="15"/>
  <cols>
    <col min="1" max="1" width="8.85546875" style="164"/>
    <col min="2" max="2" width="65.7109375" customWidth="1"/>
    <col min="3" max="3" width="11.85546875" style="164" hidden="1" customWidth="1"/>
    <col min="4" max="4" width="11.7109375" style="164" hidden="1" customWidth="1"/>
    <col min="5" max="5" width="8.85546875" style="164" hidden="1" customWidth="1"/>
    <col min="6" max="6" width="11.7109375" style="164" hidden="1" customWidth="1"/>
    <col min="7" max="7" width="12.140625" style="164" customWidth="1"/>
  </cols>
  <sheetData>
    <row r="1" spans="1:7" ht="19.5" thickBot="1">
      <c r="A1" s="188"/>
      <c r="B1" s="294" t="s">
        <v>159</v>
      </c>
      <c r="C1" s="189"/>
    </row>
    <row r="2" spans="1:7" ht="19.5" thickBot="1">
      <c r="B2" s="190"/>
    </row>
    <row r="3" spans="1:7" ht="30" customHeight="1">
      <c r="B3" s="225"/>
      <c r="C3" s="351" t="s">
        <v>160</v>
      </c>
      <c r="D3" s="352"/>
      <c r="E3" s="353" t="s">
        <v>161</v>
      </c>
      <c r="F3" s="357" t="s">
        <v>130</v>
      </c>
      <c r="G3" s="358"/>
    </row>
    <row r="4" spans="1:7" ht="15.75" customHeight="1" thickBot="1">
      <c r="B4" s="226"/>
      <c r="C4" s="191" t="s">
        <v>162</v>
      </c>
      <c r="D4" s="192">
        <v>2.7235921972764018E-2</v>
      </c>
      <c r="E4" s="354"/>
      <c r="F4" s="359"/>
      <c r="G4" s="360"/>
    </row>
    <row r="5" spans="1:7" ht="15" customHeight="1">
      <c r="B5" s="193"/>
      <c r="C5" s="194" t="s">
        <v>163</v>
      </c>
      <c r="D5" s="194" t="s">
        <v>163</v>
      </c>
      <c r="E5" s="355"/>
      <c r="F5" s="194" t="s">
        <v>163</v>
      </c>
      <c r="G5" s="194" t="s">
        <v>187</v>
      </c>
    </row>
    <row r="6" spans="1:7" ht="15.75" thickBot="1">
      <c r="B6" s="195" t="s">
        <v>164</v>
      </c>
      <c r="C6" s="196" t="s">
        <v>165</v>
      </c>
      <c r="D6" s="196" t="s">
        <v>166</v>
      </c>
      <c r="E6" s="356"/>
      <c r="F6" s="196" t="s">
        <v>165</v>
      </c>
      <c r="G6" s="196" t="s">
        <v>158</v>
      </c>
    </row>
    <row r="7" spans="1:7">
      <c r="B7" s="107" t="s">
        <v>167</v>
      </c>
      <c r="C7" s="197">
        <f>D7*4</f>
        <v>51.000710338259104</v>
      </c>
      <c r="D7" s="198">
        <f>'[1]1. 3168 ISE'!E27</f>
        <v>12.750177584564776</v>
      </c>
      <c r="E7" s="221"/>
      <c r="F7" s="231" t="e">
        <f>#REF!</f>
        <v>#REF!</v>
      </c>
      <c r="G7" s="227">
        <f>Models!K29</f>
        <v>12.970732727213358</v>
      </c>
    </row>
    <row r="8" spans="1:7" ht="15" hidden="1" customHeight="1">
      <c r="B8" s="199" t="s">
        <v>168</v>
      </c>
      <c r="C8" s="200">
        <f t="shared" ref="C8:C27" si="0">D8*4</f>
        <v>9.0223249816294278</v>
      </c>
      <c r="D8" s="201">
        <v>2.2555812454073569</v>
      </c>
      <c r="E8" s="222">
        <v>0.02</v>
      </c>
      <c r="F8" s="231">
        <v>14.72</v>
      </c>
      <c r="G8" s="227">
        <v>3.68</v>
      </c>
    </row>
    <row r="9" spans="1:7">
      <c r="B9" s="186" t="s">
        <v>115</v>
      </c>
      <c r="C9" s="200">
        <f t="shared" si="0"/>
        <v>14.644537730961851</v>
      </c>
      <c r="D9" s="201">
        <f>'[1]2. 3181 GSE'!F26</f>
        <v>3.6611344327404627</v>
      </c>
      <c r="E9" s="222">
        <v>0.02</v>
      </c>
      <c r="F9" s="231" t="e">
        <f>#REF!</f>
        <v>#REF!</v>
      </c>
      <c r="G9" s="227">
        <f>Models!K56</f>
        <v>3.7520736349291357</v>
      </c>
    </row>
    <row r="10" spans="1:7">
      <c r="B10" s="186"/>
      <c r="C10" s="200"/>
      <c r="D10" s="202"/>
      <c r="E10" s="223"/>
      <c r="F10" s="231"/>
      <c r="G10" s="227"/>
    </row>
    <row r="11" spans="1:7">
      <c r="B11" s="203" t="s">
        <v>169</v>
      </c>
      <c r="C11" s="200"/>
      <c r="D11" s="202"/>
      <c r="E11" s="223"/>
      <c r="F11" s="231"/>
      <c r="G11" s="227"/>
    </row>
    <row r="12" spans="1:7" ht="14.45" customHeight="1">
      <c r="B12" s="203" t="s">
        <v>170</v>
      </c>
      <c r="C12" s="200"/>
      <c r="D12" s="202"/>
      <c r="E12" s="223"/>
      <c r="F12" s="231"/>
      <c r="G12" s="227"/>
    </row>
    <row r="13" spans="1:7" ht="15" hidden="1" customHeight="1">
      <c r="B13" s="199" t="s">
        <v>171</v>
      </c>
      <c r="C13" s="200">
        <f t="shared" si="0"/>
        <v>20.75962090541038</v>
      </c>
      <c r="D13" s="204">
        <v>5.1899052263525949</v>
      </c>
      <c r="E13" s="223"/>
      <c r="F13" s="231">
        <v>21.796405155460288</v>
      </c>
      <c r="G13" s="227">
        <v>5.4491012888650721</v>
      </c>
    </row>
    <row r="14" spans="1:7">
      <c r="B14" s="186" t="s">
        <v>172</v>
      </c>
      <c r="C14" s="200">
        <f t="shared" si="0"/>
        <v>21.795793379904065</v>
      </c>
      <c r="D14" s="205">
        <f>'[1]3. 3181 HI Intnsty'!F28</f>
        <v>5.4489483449760163</v>
      </c>
      <c r="E14" s="223"/>
      <c r="F14" s="231" t="e">
        <f>#REF!</f>
        <v>#REF!</v>
      </c>
      <c r="G14" s="227">
        <f>Models!K84</f>
        <v>5.6467749710084005</v>
      </c>
    </row>
    <row r="15" spans="1:7">
      <c r="B15" s="186"/>
      <c r="C15" s="200"/>
      <c r="D15" s="202"/>
      <c r="E15" s="223"/>
      <c r="F15" s="232"/>
      <c r="G15" s="228"/>
    </row>
    <row r="16" spans="1:7">
      <c r="B16" s="203" t="s">
        <v>173</v>
      </c>
      <c r="C16" s="200"/>
      <c r="D16" s="202"/>
      <c r="E16" s="223"/>
      <c r="F16" s="232"/>
      <c r="G16" s="228"/>
    </row>
    <row r="17" spans="2:8">
      <c r="B17" s="186" t="s">
        <v>154</v>
      </c>
      <c r="C17" s="200">
        <f t="shared" si="0"/>
        <v>17.718404953169852</v>
      </c>
      <c r="D17" s="205">
        <f>'[1]4. DC Add-On'!I8</f>
        <v>4.429601238292463</v>
      </c>
      <c r="E17" s="223"/>
      <c r="F17" s="232">
        <f>' DC Add-On'!J7</f>
        <v>17.984041434738778</v>
      </c>
      <c r="G17" s="227">
        <f>' DC Add-On'!K7</f>
        <v>4.4960103586846945</v>
      </c>
    </row>
    <row r="18" spans="2:8">
      <c r="B18" s="186" t="s">
        <v>174</v>
      </c>
      <c r="C18" s="200">
        <f t="shared" si="0"/>
        <v>22.482977614523122</v>
      </c>
      <c r="D18" s="205">
        <f>'[1]4. DC Add-On'!I13</f>
        <v>5.6207444036307805</v>
      </c>
      <c r="E18" s="223"/>
      <c r="F18" s="232">
        <f>' DC Add-On'!J13</f>
        <v>22.868052279102383</v>
      </c>
      <c r="G18" s="227">
        <f>' DC Add-On'!K13</f>
        <v>5.7170130697755956</v>
      </c>
    </row>
    <row r="19" spans="2:8">
      <c r="B19" s="186"/>
      <c r="C19" s="200"/>
      <c r="D19" s="202"/>
      <c r="E19" s="223"/>
      <c r="F19" s="232"/>
      <c r="G19" s="227"/>
    </row>
    <row r="20" spans="2:8">
      <c r="B20" s="203" t="s">
        <v>175</v>
      </c>
      <c r="C20" s="200"/>
      <c r="D20" s="202"/>
      <c r="E20" s="223"/>
      <c r="F20" s="232"/>
      <c r="G20" s="228"/>
    </row>
    <row r="21" spans="2:8">
      <c r="B21" s="255" t="s">
        <v>204</v>
      </c>
      <c r="C21" s="263">
        <f>(D21*4)-0.01</f>
        <v>29.075580423718485</v>
      </c>
      <c r="D21" s="264">
        <f>'[1]5. Travel'!G6</f>
        <v>7.2713951059296216</v>
      </c>
      <c r="E21" s="223"/>
      <c r="F21" s="231" t="e">
        <f>#REF!</f>
        <v>#REF!</v>
      </c>
      <c r="G21" s="227">
        <f>' Travel'!G6</f>
        <v>7.3588637534973795</v>
      </c>
    </row>
    <row r="22" spans="2:8">
      <c r="B22" s="186"/>
      <c r="C22" s="200"/>
      <c r="D22" s="202"/>
      <c r="E22" s="223"/>
      <c r="F22" s="232"/>
      <c r="G22" s="227"/>
    </row>
    <row r="23" spans="2:8">
      <c r="B23" s="203" t="s">
        <v>176</v>
      </c>
      <c r="C23" s="200"/>
      <c r="D23" s="202"/>
      <c r="E23" s="223"/>
      <c r="F23" s="232"/>
      <c r="G23" s="227"/>
    </row>
    <row r="24" spans="2:8" ht="14.45" customHeight="1">
      <c r="B24" s="203" t="s">
        <v>177</v>
      </c>
      <c r="C24" s="200"/>
      <c r="D24" s="202"/>
      <c r="E24" s="223"/>
      <c r="F24" s="232"/>
      <c r="G24" s="227"/>
    </row>
    <row r="25" spans="2:8" ht="15" hidden="1" customHeight="1">
      <c r="B25" s="206" t="s">
        <v>178</v>
      </c>
      <c r="C25" s="200">
        <f t="shared" si="0"/>
        <v>26.740185216359826</v>
      </c>
      <c r="D25" s="204">
        <v>6.6850463040899566</v>
      </c>
      <c r="E25" s="223"/>
      <c r="F25" s="232"/>
      <c r="G25" s="227"/>
    </row>
    <row r="26" spans="2:8">
      <c r="B26" s="207" t="s">
        <v>179</v>
      </c>
      <c r="C26" s="200">
        <f t="shared" si="0"/>
        <v>32.362942684131703</v>
      </c>
      <c r="D26" s="205">
        <f>D9+D17</f>
        <v>8.0907356710329257</v>
      </c>
      <c r="E26" s="222">
        <v>0.02</v>
      </c>
      <c r="F26" s="232">
        <f>G26*4</f>
        <v>32.992335974455322</v>
      </c>
      <c r="G26" s="227">
        <f>G9+G17</f>
        <v>8.2480839936138306</v>
      </c>
      <c r="H26" s="161"/>
    </row>
    <row r="27" spans="2:8" ht="14.45" hidden="1" customHeight="1">
      <c r="B27" s="206" t="s">
        <v>180</v>
      </c>
      <c r="C27" s="200">
        <f t="shared" si="0"/>
        <v>14.911793299352711</v>
      </c>
      <c r="D27" s="208">
        <v>3.7279483248381777</v>
      </c>
      <c r="E27" s="222">
        <v>0.01</v>
      </c>
      <c r="F27" s="232">
        <v>32.438132593950122</v>
      </c>
      <c r="G27" s="229">
        <v>8.1095331484875306</v>
      </c>
    </row>
    <row r="28" spans="2:8" ht="15.75" thickBot="1">
      <c r="B28" s="209" t="s">
        <v>181</v>
      </c>
      <c r="C28" s="210">
        <f>D28*4</f>
        <v>20.518188972937658</v>
      </c>
      <c r="D28" s="211">
        <f>0.3315*D17+D9</f>
        <v>5.1295472432344145</v>
      </c>
      <c r="E28" s="224">
        <f>G28-D28</f>
        <v>0.12295382559869772</v>
      </c>
      <c r="F28" s="233">
        <f>G28*4</f>
        <v>21.010004275332449</v>
      </c>
      <c r="G28" s="230">
        <f>0.3315*G17+G9+0.01</f>
        <v>5.2525010688331122</v>
      </c>
    </row>
    <row r="29" spans="2:8">
      <c r="G29" s="212"/>
    </row>
    <row r="30" spans="2:8">
      <c r="B30" s="213"/>
      <c r="G30" s="212"/>
    </row>
    <row r="31" spans="2:8">
      <c r="B31" s="213"/>
    </row>
  </sheetData>
  <mergeCells count="3">
    <mergeCell ref="C3:D3"/>
    <mergeCell ref="E3:E6"/>
    <mergeCell ref="F3:G4"/>
  </mergeCells>
  <pageMargins left="0.2" right="0.2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5"/>
  <sheetViews>
    <sheetView topLeftCell="AY1" workbookViewId="0">
      <selection activeCell="BF14" sqref="BF14:BQ26"/>
    </sheetView>
  </sheetViews>
  <sheetFormatPr defaultRowHeight="12.75"/>
  <cols>
    <col min="1" max="1" width="38.42578125" style="38" customWidth="1"/>
    <col min="2" max="2" width="12.85546875" style="39" customWidth="1"/>
    <col min="3" max="74" width="10.28515625" style="38" customWidth="1"/>
    <col min="75" max="256" width="9.140625" style="38"/>
    <col min="257" max="257" width="38.42578125" style="38" customWidth="1"/>
    <col min="258" max="258" width="12.85546875" style="38" customWidth="1"/>
    <col min="259" max="330" width="10.28515625" style="38" customWidth="1"/>
    <col min="331" max="512" width="9.140625" style="38"/>
    <col min="513" max="513" width="38.42578125" style="38" customWidth="1"/>
    <col min="514" max="514" width="12.85546875" style="38" customWidth="1"/>
    <col min="515" max="586" width="10.28515625" style="38" customWidth="1"/>
    <col min="587" max="768" width="9.140625" style="38"/>
    <col min="769" max="769" width="38.42578125" style="38" customWidth="1"/>
    <col min="770" max="770" width="12.85546875" style="38" customWidth="1"/>
    <col min="771" max="842" width="10.28515625" style="38" customWidth="1"/>
    <col min="843" max="1024" width="9.140625" style="38"/>
    <col min="1025" max="1025" width="38.42578125" style="38" customWidth="1"/>
    <col min="1026" max="1026" width="12.85546875" style="38" customWidth="1"/>
    <col min="1027" max="1098" width="10.28515625" style="38" customWidth="1"/>
    <col min="1099" max="1280" width="9.140625" style="38"/>
    <col min="1281" max="1281" width="38.42578125" style="38" customWidth="1"/>
    <col min="1282" max="1282" width="12.85546875" style="38" customWidth="1"/>
    <col min="1283" max="1354" width="10.28515625" style="38" customWidth="1"/>
    <col min="1355" max="1536" width="9.140625" style="38"/>
    <col min="1537" max="1537" width="38.42578125" style="38" customWidth="1"/>
    <col min="1538" max="1538" width="12.85546875" style="38" customWidth="1"/>
    <col min="1539" max="1610" width="10.28515625" style="38" customWidth="1"/>
    <col min="1611" max="1792" width="9.140625" style="38"/>
    <col min="1793" max="1793" width="38.42578125" style="38" customWidth="1"/>
    <col min="1794" max="1794" width="12.85546875" style="38" customWidth="1"/>
    <col min="1795" max="1866" width="10.28515625" style="38" customWidth="1"/>
    <col min="1867" max="2048" width="9.140625" style="38"/>
    <col min="2049" max="2049" width="38.42578125" style="38" customWidth="1"/>
    <col min="2050" max="2050" width="12.85546875" style="38" customWidth="1"/>
    <col min="2051" max="2122" width="10.28515625" style="38" customWidth="1"/>
    <col min="2123" max="2304" width="9.140625" style="38"/>
    <col min="2305" max="2305" width="38.42578125" style="38" customWidth="1"/>
    <col min="2306" max="2306" width="12.85546875" style="38" customWidth="1"/>
    <col min="2307" max="2378" width="10.28515625" style="38" customWidth="1"/>
    <col min="2379" max="2560" width="9.140625" style="38"/>
    <col min="2561" max="2561" width="38.42578125" style="38" customWidth="1"/>
    <col min="2562" max="2562" width="12.85546875" style="38" customWidth="1"/>
    <col min="2563" max="2634" width="10.28515625" style="38" customWidth="1"/>
    <col min="2635" max="2816" width="9.140625" style="38"/>
    <col min="2817" max="2817" width="38.42578125" style="38" customWidth="1"/>
    <col min="2818" max="2818" width="12.85546875" style="38" customWidth="1"/>
    <col min="2819" max="2890" width="10.28515625" style="38" customWidth="1"/>
    <col min="2891" max="3072" width="9.140625" style="38"/>
    <col min="3073" max="3073" width="38.42578125" style="38" customWidth="1"/>
    <col min="3074" max="3074" width="12.85546875" style="38" customWidth="1"/>
    <col min="3075" max="3146" width="10.28515625" style="38" customWidth="1"/>
    <col min="3147" max="3328" width="9.140625" style="38"/>
    <col min="3329" max="3329" width="38.42578125" style="38" customWidth="1"/>
    <col min="3330" max="3330" width="12.85546875" style="38" customWidth="1"/>
    <col min="3331" max="3402" width="10.28515625" style="38" customWidth="1"/>
    <col min="3403" max="3584" width="9.140625" style="38"/>
    <col min="3585" max="3585" width="38.42578125" style="38" customWidth="1"/>
    <col min="3586" max="3586" width="12.85546875" style="38" customWidth="1"/>
    <col min="3587" max="3658" width="10.28515625" style="38" customWidth="1"/>
    <col min="3659" max="3840" width="9.140625" style="38"/>
    <col min="3841" max="3841" width="38.42578125" style="38" customWidth="1"/>
    <col min="3842" max="3842" width="12.85546875" style="38" customWidth="1"/>
    <col min="3843" max="3914" width="10.28515625" style="38" customWidth="1"/>
    <col min="3915" max="4096" width="9.140625" style="38"/>
    <col min="4097" max="4097" width="38.42578125" style="38" customWidth="1"/>
    <col min="4098" max="4098" width="12.85546875" style="38" customWidth="1"/>
    <col min="4099" max="4170" width="10.28515625" style="38" customWidth="1"/>
    <col min="4171" max="4352" width="9.140625" style="38"/>
    <col min="4353" max="4353" width="38.42578125" style="38" customWidth="1"/>
    <col min="4354" max="4354" width="12.85546875" style="38" customWidth="1"/>
    <col min="4355" max="4426" width="10.28515625" style="38" customWidth="1"/>
    <col min="4427" max="4608" width="9.140625" style="38"/>
    <col min="4609" max="4609" width="38.42578125" style="38" customWidth="1"/>
    <col min="4610" max="4610" width="12.85546875" style="38" customWidth="1"/>
    <col min="4611" max="4682" width="10.28515625" style="38" customWidth="1"/>
    <col min="4683" max="4864" width="9.140625" style="38"/>
    <col min="4865" max="4865" width="38.42578125" style="38" customWidth="1"/>
    <col min="4866" max="4866" width="12.85546875" style="38" customWidth="1"/>
    <col min="4867" max="4938" width="10.28515625" style="38" customWidth="1"/>
    <col min="4939" max="5120" width="9.140625" style="38"/>
    <col min="5121" max="5121" width="38.42578125" style="38" customWidth="1"/>
    <col min="5122" max="5122" width="12.85546875" style="38" customWidth="1"/>
    <col min="5123" max="5194" width="10.28515625" style="38" customWidth="1"/>
    <col min="5195" max="5376" width="9.140625" style="38"/>
    <col min="5377" max="5377" width="38.42578125" style="38" customWidth="1"/>
    <col min="5378" max="5378" width="12.85546875" style="38" customWidth="1"/>
    <col min="5379" max="5450" width="10.28515625" style="38" customWidth="1"/>
    <col min="5451" max="5632" width="9.140625" style="38"/>
    <col min="5633" max="5633" width="38.42578125" style="38" customWidth="1"/>
    <col min="5634" max="5634" width="12.85546875" style="38" customWidth="1"/>
    <col min="5635" max="5706" width="10.28515625" style="38" customWidth="1"/>
    <col min="5707" max="5888" width="9.140625" style="38"/>
    <col min="5889" max="5889" width="38.42578125" style="38" customWidth="1"/>
    <col min="5890" max="5890" width="12.85546875" style="38" customWidth="1"/>
    <col min="5891" max="5962" width="10.28515625" style="38" customWidth="1"/>
    <col min="5963" max="6144" width="9.140625" style="38"/>
    <col min="6145" max="6145" width="38.42578125" style="38" customWidth="1"/>
    <col min="6146" max="6146" width="12.85546875" style="38" customWidth="1"/>
    <col min="6147" max="6218" width="10.28515625" style="38" customWidth="1"/>
    <col min="6219" max="6400" width="9.140625" style="38"/>
    <col min="6401" max="6401" width="38.42578125" style="38" customWidth="1"/>
    <col min="6402" max="6402" width="12.85546875" style="38" customWidth="1"/>
    <col min="6403" max="6474" width="10.28515625" style="38" customWidth="1"/>
    <col min="6475" max="6656" width="9.140625" style="38"/>
    <col min="6657" max="6657" width="38.42578125" style="38" customWidth="1"/>
    <col min="6658" max="6658" width="12.85546875" style="38" customWidth="1"/>
    <col min="6659" max="6730" width="10.28515625" style="38" customWidth="1"/>
    <col min="6731" max="6912" width="9.140625" style="38"/>
    <col min="6913" max="6913" width="38.42578125" style="38" customWidth="1"/>
    <col min="6914" max="6914" width="12.85546875" style="38" customWidth="1"/>
    <col min="6915" max="6986" width="10.28515625" style="38" customWidth="1"/>
    <col min="6987" max="7168" width="9.140625" style="38"/>
    <col min="7169" max="7169" width="38.42578125" style="38" customWidth="1"/>
    <col min="7170" max="7170" width="12.85546875" style="38" customWidth="1"/>
    <col min="7171" max="7242" width="10.28515625" style="38" customWidth="1"/>
    <col min="7243" max="7424" width="9.140625" style="38"/>
    <col min="7425" max="7425" width="38.42578125" style="38" customWidth="1"/>
    <col min="7426" max="7426" width="12.85546875" style="38" customWidth="1"/>
    <col min="7427" max="7498" width="10.28515625" style="38" customWidth="1"/>
    <col min="7499" max="7680" width="9.140625" style="38"/>
    <col min="7681" max="7681" width="38.42578125" style="38" customWidth="1"/>
    <col min="7682" max="7682" width="12.85546875" style="38" customWidth="1"/>
    <col min="7683" max="7754" width="10.28515625" style="38" customWidth="1"/>
    <col min="7755" max="7936" width="9.140625" style="38"/>
    <col min="7937" max="7937" width="38.42578125" style="38" customWidth="1"/>
    <col min="7938" max="7938" width="12.85546875" style="38" customWidth="1"/>
    <col min="7939" max="8010" width="10.28515625" style="38" customWidth="1"/>
    <col min="8011" max="8192" width="9.140625" style="38"/>
    <col min="8193" max="8193" width="38.42578125" style="38" customWidth="1"/>
    <col min="8194" max="8194" width="12.85546875" style="38" customWidth="1"/>
    <col min="8195" max="8266" width="10.28515625" style="38" customWidth="1"/>
    <col min="8267" max="8448" width="9.140625" style="38"/>
    <col min="8449" max="8449" width="38.42578125" style="38" customWidth="1"/>
    <col min="8450" max="8450" width="12.85546875" style="38" customWidth="1"/>
    <col min="8451" max="8522" width="10.28515625" style="38" customWidth="1"/>
    <col min="8523" max="8704" width="9.140625" style="38"/>
    <col min="8705" max="8705" width="38.42578125" style="38" customWidth="1"/>
    <col min="8706" max="8706" width="12.85546875" style="38" customWidth="1"/>
    <col min="8707" max="8778" width="10.28515625" style="38" customWidth="1"/>
    <col min="8779" max="8960" width="9.140625" style="38"/>
    <col min="8961" max="8961" width="38.42578125" style="38" customWidth="1"/>
    <col min="8962" max="8962" width="12.85546875" style="38" customWidth="1"/>
    <col min="8963" max="9034" width="10.28515625" style="38" customWidth="1"/>
    <col min="9035" max="9216" width="9.140625" style="38"/>
    <col min="9217" max="9217" width="38.42578125" style="38" customWidth="1"/>
    <col min="9218" max="9218" width="12.85546875" style="38" customWidth="1"/>
    <col min="9219" max="9290" width="10.28515625" style="38" customWidth="1"/>
    <col min="9291" max="9472" width="9.140625" style="38"/>
    <col min="9473" max="9473" width="38.42578125" style="38" customWidth="1"/>
    <col min="9474" max="9474" width="12.85546875" style="38" customWidth="1"/>
    <col min="9475" max="9546" width="10.28515625" style="38" customWidth="1"/>
    <col min="9547" max="9728" width="9.140625" style="38"/>
    <col min="9729" max="9729" width="38.42578125" style="38" customWidth="1"/>
    <col min="9730" max="9730" width="12.85546875" style="38" customWidth="1"/>
    <col min="9731" max="9802" width="10.28515625" style="38" customWidth="1"/>
    <col min="9803" max="9984" width="9.140625" style="38"/>
    <col min="9985" max="9985" width="38.42578125" style="38" customWidth="1"/>
    <col min="9986" max="9986" width="12.85546875" style="38" customWidth="1"/>
    <col min="9987" max="10058" width="10.28515625" style="38" customWidth="1"/>
    <col min="10059" max="10240" width="9.140625" style="38"/>
    <col min="10241" max="10241" width="38.42578125" style="38" customWidth="1"/>
    <col min="10242" max="10242" width="12.85546875" style="38" customWidth="1"/>
    <col min="10243" max="10314" width="10.28515625" style="38" customWidth="1"/>
    <col min="10315" max="10496" width="9.140625" style="38"/>
    <col min="10497" max="10497" width="38.42578125" style="38" customWidth="1"/>
    <col min="10498" max="10498" width="12.85546875" style="38" customWidth="1"/>
    <col min="10499" max="10570" width="10.28515625" style="38" customWidth="1"/>
    <col min="10571" max="10752" width="9.140625" style="38"/>
    <col min="10753" max="10753" width="38.42578125" style="38" customWidth="1"/>
    <col min="10754" max="10754" width="12.85546875" style="38" customWidth="1"/>
    <col min="10755" max="10826" width="10.28515625" style="38" customWidth="1"/>
    <col min="10827" max="11008" width="9.140625" style="38"/>
    <col min="11009" max="11009" width="38.42578125" style="38" customWidth="1"/>
    <col min="11010" max="11010" width="12.85546875" style="38" customWidth="1"/>
    <col min="11011" max="11082" width="10.28515625" style="38" customWidth="1"/>
    <col min="11083" max="11264" width="9.140625" style="38"/>
    <col min="11265" max="11265" width="38.42578125" style="38" customWidth="1"/>
    <col min="11266" max="11266" width="12.85546875" style="38" customWidth="1"/>
    <col min="11267" max="11338" width="10.28515625" style="38" customWidth="1"/>
    <col min="11339" max="11520" width="9.140625" style="38"/>
    <col min="11521" max="11521" width="38.42578125" style="38" customWidth="1"/>
    <col min="11522" max="11522" width="12.85546875" style="38" customWidth="1"/>
    <col min="11523" max="11594" width="10.28515625" style="38" customWidth="1"/>
    <col min="11595" max="11776" width="9.140625" style="38"/>
    <col min="11777" max="11777" width="38.42578125" style="38" customWidth="1"/>
    <col min="11778" max="11778" width="12.85546875" style="38" customWidth="1"/>
    <col min="11779" max="11850" width="10.28515625" style="38" customWidth="1"/>
    <col min="11851" max="12032" width="9.140625" style="38"/>
    <col min="12033" max="12033" width="38.42578125" style="38" customWidth="1"/>
    <col min="12034" max="12034" width="12.85546875" style="38" customWidth="1"/>
    <col min="12035" max="12106" width="10.28515625" style="38" customWidth="1"/>
    <col min="12107" max="12288" width="9.140625" style="38"/>
    <col min="12289" max="12289" width="38.42578125" style="38" customWidth="1"/>
    <col min="12290" max="12290" width="12.85546875" style="38" customWidth="1"/>
    <col min="12291" max="12362" width="10.28515625" style="38" customWidth="1"/>
    <col min="12363" max="12544" width="9.140625" style="38"/>
    <col min="12545" max="12545" width="38.42578125" style="38" customWidth="1"/>
    <col min="12546" max="12546" width="12.85546875" style="38" customWidth="1"/>
    <col min="12547" max="12618" width="10.28515625" style="38" customWidth="1"/>
    <col min="12619" max="12800" width="9.140625" style="38"/>
    <col min="12801" max="12801" width="38.42578125" style="38" customWidth="1"/>
    <col min="12802" max="12802" width="12.85546875" style="38" customWidth="1"/>
    <col min="12803" max="12874" width="10.28515625" style="38" customWidth="1"/>
    <col min="12875" max="13056" width="9.140625" style="38"/>
    <col min="13057" max="13057" width="38.42578125" style="38" customWidth="1"/>
    <col min="13058" max="13058" width="12.85546875" style="38" customWidth="1"/>
    <col min="13059" max="13130" width="10.28515625" style="38" customWidth="1"/>
    <col min="13131" max="13312" width="9.140625" style="38"/>
    <col min="13313" max="13313" width="38.42578125" style="38" customWidth="1"/>
    <col min="13314" max="13314" width="12.85546875" style="38" customWidth="1"/>
    <col min="13315" max="13386" width="10.28515625" style="38" customWidth="1"/>
    <col min="13387" max="13568" width="9.140625" style="38"/>
    <col min="13569" max="13569" width="38.42578125" style="38" customWidth="1"/>
    <col min="13570" max="13570" width="12.85546875" style="38" customWidth="1"/>
    <col min="13571" max="13642" width="10.28515625" style="38" customWidth="1"/>
    <col min="13643" max="13824" width="9.140625" style="38"/>
    <col min="13825" max="13825" width="38.42578125" style="38" customWidth="1"/>
    <col min="13826" max="13826" width="12.85546875" style="38" customWidth="1"/>
    <col min="13827" max="13898" width="10.28515625" style="38" customWidth="1"/>
    <col min="13899" max="14080" width="9.140625" style="38"/>
    <col min="14081" max="14081" width="38.42578125" style="38" customWidth="1"/>
    <col min="14082" max="14082" width="12.85546875" style="38" customWidth="1"/>
    <col min="14083" max="14154" width="10.28515625" style="38" customWidth="1"/>
    <col min="14155" max="14336" width="9.140625" style="38"/>
    <col min="14337" max="14337" width="38.42578125" style="38" customWidth="1"/>
    <col min="14338" max="14338" width="12.85546875" style="38" customWidth="1"/>
    <col min="14339" max="14410" width="10.28515625" style="38" customWidth="1"/>
    <col min="14411" max="14592" width="9.140625" style="38"/>
    <col min="14593" max="14593" width="38.42578125" style="38" customWidth="1"/>
    <col min="14594" max="14594" width="12.85546875" style="38" customWidth="1"/>
    <col min="14595" max="14666" width="10.28515625" style="38" customWidth="1"/>
    <col min="14667" max="14848" width="9.140625" style="38"/>
    <col min="14849" max="14849" width="38.42578125" style="38" customWidth="1"/>
    <col min="14850" max="14850" width="12.85546875" style="38" customWidth="1"/>
    <col min="14851" max="14922" width="10.28515625" style="38" customWidth="1"/>
    <col min="14923" max="15104" width="9.140625" style="38"/>
    <col min="15105" max="15105" width="38.42578125" style="38" customWidth="1"/>
    <col min="15106" max="15106" width="12.85546875" style="38" customWidth="1"/>
    <col min="15107" max="15178" width="10.28515625" style="38" customWidth="1"/>
    <col min="15179" max="15360" width="9.140625" style="38"/>
    <col min="15361" max="15361" width="38.42578125" style="38" customWidth="1"/>
    <col min="15362" max="15362" width="12.85546875" style="38" customWidth="1"/>
    <col min="15363" max="15434" width="10.28515625" style="38" customWidth="1"/>
    <col min="15435" max="15616" width="9.140625" style="38"/>
    <col min="15617" max="15617" width="38.42578125" style="38" customWidth="1"/>
    <col min="15618" max="15618" width="12.85546875" style="38" customWidth="1"/>
    <col min="15619" max="15690" width="10.28515625" style="38" customWidth="1"/>
    <col min="15691" max="15872" width="9.140625" style="38"/>
    <col min="15873" max="15873" width="38.42578125" style="38" customWidth="1"/>
    <col min="15874" max="15874" width="12.85546875" style="38" customWidth="1"/>
    <col min="15875" max="15946" width="10.28515625" style="38" customWidth="1"/>
    <col min="15947" max="16128" width="9.140625" style="38"/>
    <col min="16129" max="16129" width="38.42578125" style="38" customWidth="1"/>
    <col min="16130" max="16130" width="12.85546875" style="38" customWidth="1"/>
    <col min="16131" max="16202" width="10.28515625" style="38" customWidth="1"/>
    <col min="16203" max="16384" width="9.140625" style="38"/>
  </cols>
  <sheetData>
    <row r="1" spans="1:75" ht="18">
      <c r="A1" s="361" t="s">
        <v>17</v>
      </c>
      <c r="B1" s="362"/>
    </row>
    <row r="2" spans="1:75" ht="15.75">
      <c r="A2" s="363" t="s">
        <v>18</v>
      </c>
      <c r="B2" s="364"/>
    </row>
    <row r="3" spans="1:75" ht="15.75" thickBot="1">
      <c r="A3" s="365" t="s">
        <v>19</v>
      </c>
      <c r="B3" s="366"/>
    </row>
    <row r="6" spans="1:75">
      <c r="AW6" s="40" t="s">
        <v>20</v>
      </c>
      <c r="AX6" s="41" t="s">
        <v>20</v>
      </c>
      <c r="AY6" s="41" t="s">
        <v>20</v>
      </c>
      <c r="AZ6" s="41" t="s">
        <v>20</v>
      </c>
      <c r="BA6" s="42" t="s">
        <v>21</v>
      </c>
      <c r="BB6" s="42" t="s">
        <v>21</v>
      </c>
      <c r="BC6" s="42" t="s">
        <v>21</v>
      </c>
      <c r="BD6" s="42" t="s">
        <v>21</v>
      </c>
      <c r="BE6" s="43" t="s">
        <v>22</v>
      </c>
      <c r="BF6" s="43" t="s">
        <v>22</v>
      </c>
      <c r="BG6" s="43" t="s">
        <v>22</v>
      </c>
      <c r="BH6" s="43" t="s">
        <v>22</v>
      </c>
      <c r="BI6" s="44" t="s">
        <v>23</v>
      </c>
      <c r="BJ6" s="44" t="s">
        <v>23</v>
      </c>
      <c r="BK6" s="44" t="s">
        <v>23</v>
      </c>
      <c r="BL6" s="44" t="s">
        <v>23</v>
      </c>
      <c r="BM6" s="45" t="s">
        <v>24</v>
      </c>
      <c r="BN6" s="45" t="s">
        <v>24</v>
      </c>
      <c r="BO6" s="45" t="s">
        <v>24</v>
      </c>
      <c r="BP6" s="45" t="s">
        <v>24</v>
      </c>
      <c r="BQ6" s="46" t="s">
        <v>25</v>
      </c>
      <c r="BR6" s="46" t="s">
        <v>25</v>
      </c>
      <c r="BS6" s="46" t="s">
        <v>25</v>
      </c>
      <c r="BT6" s="46" t="s">
        <v>25</v>
      </c>
    </row>
    <row r="7" spans="1:75" s="39" customFormat="1">
      <c r="B7" s="39" t="s">
        <v>26</v>
      </c>
      <c r="C7" s="47" t="s">
        <v>27</v>
      </c>
      <c r="D7" s="47" t="s">
        <v>28</v>
      </c>
      <c r="E7" s="47" t="s">
        <v>29</v>
      </c>
      <c r="F7" s="47" t="s">
        <v>30</v>
      </c>
      <c r="G7" s="47" t="s">
        <v>31</v>
      </c>
      <c r="H7" s="47" t="s">
        <v>32</v>
      </c>
      <c r="I7" s="47" t="s">
        <v>33</v>
      </c>
      <c r="J7" s="47" t="s">
        <v>34</v>
      </c>
      <c r="K7" s="47" t="s">
        <v>35</v>
      </c>
      <c r="L7" s="47" t="s">
        <v>36</v>
      </c>
      <c r="M7" s="47" t="s">
        <v>37</v>
      </c>
      <c r="N7" s="47" t="s">
        <v>38</v>
      </c>
      <c r="O7" s="47" t="s">
        <v>39</v>
      </c>
      <c r="P7" s="47" t="s">
        <v>40</v>
      </c>
      <c r="Q7" s="47" t="s">
        <v>41</v>
      </c>
      <c r="R7" s="47" t="s">
        <v>42</v>
      </c>
      <c r="S7" s="47" t="s">
        <v>43</v>
      </c>
      <c r="T7" s="47" t="s">
        <v>44</v>
      </c>
      <c r="U7" s="47" t="s">
        <v>45</v>
      </c>
      <c r="V7" s="47" t="s">
        <v>46</v>
      </c>
      <c r="W7" s="47" t="s">
        <v>47</v>
      </c>
      <c r="X7" s="47" t="s">
        <v>48</v>
      </c>
      <c r="Y7" s="47" t="s">
        <v>49</v>
      </c>
      <c r="Z7" s="47" t="s">
        <v>50</v>
      </c>
      <c r="AA7" s="47" t="s">
        <v>51</v>
      </c>
      <c r="AB7" s="47" t="s">
        <v>52</v>
      </c>
      <c r="AC7" s="47" t="s">
        <v>53</v>
      </c>
      <c r="AD7" s="47" t="s">
        <v>54</v>
      </c>
      <c r="AE7" s="47" t="s">
        <v>55</v>
      </c>
      <c r="AF7" s="47" t="s">
        <v>56</v>
      </c>
      <c r="AG7" s="47" t="s">
        <v>57</v>
      </c>
      <c r="AH7" s="47" t="s">
        <v>58</v>
      </c>
      <c r="AI7" s="47" t="s">
        <v>59</v>
      </c>
      <c r="AJ7" s="47" t="s">
        <v>60</v>
      </c>
      <c r="AK7" s="47" t="s">
        <v>61</v>
      </c>
      <c r="AL7" s="47" t="s">
        <v>62</v>
      </c>
      <c r="AM7" s="47" t="s">
        <v>63</v>
      </c>
      <c r="AN7" s="47" t="s">
        <v>64</v>
      </c>
      <c r="AO7" s="47" t="s">
        <v>65</v>
      </c>
      <c r="AP7" s="47" t="s">
        <v>66</v>
      </c>
      <c r="AQ7" s="47" t="s">
        <v>67</v>
      </c>
      <c r="AR7" s="47" t="s">
        <v>68</v>
      </c>
      <c r="AS7" s="47" t="s">
        <v>69</v>
      </c>
      <c r="AT7" s="47" t="s">
        <v>70</v>
      </c>
      <c r="AU7" s="39" t="s">
        <v>71</v>
      </c>
      <c r="AV7" s="39" t="s">
        <v>72</v>
      </c>
      <c r="AW7" s="39" t="s">
        <v>73</v>
      </c>
      <c r="AX7" s="39" t="s">
        <v>74</v>
      </c>
      <c r="AY7" s="39" t="s">
        <v>75</v>
      </c>
      <c r="AZ7" s="39" t="s">
        <v>76</v>
      </c>
      <c r="BA7" s="39" t="s">
        <v>77</v>
      </c>
      <c r="BB7" s="39" t="s">
        <v>78</v>
      </c>
      <c r="BC7" s="39" t="s">
        <v>79</v>
      </c>
      <c r="BD7" s="39" t="s">
        <v>80</v>
      </c>
      <c r="BE7" s="39" t="s">
        <v>81</v>
      </c>
      <c r="BF7" s="39" t="s">
        <v>82</v>
      </c>
      <c r="BG7" s="39" t="s">
        <v>83</v>
      </c>
      <c r="BH7" s="39" t="s">
        <v>84</v>
      </c>
      <c r="BI7" s="39" t="s">
        <v>85</v>
      </c>
      <c r="BJ7" s="39" t="s">
        <v>86</v>
      </c>
      <c r="BK7" s="39" t="s">
        <v>87</v>
      </c>
      <c r="BL7" s="39" t="s">
        <v>88</v>
      </c>
      <c r="BM7" s="39" t="s">
        <v>89</v>
      </c>
      <c r="BN7" s="39" t="s">
        <v>90</v>
      </c>
      <c r="BO7" s="39" t="s">
        <v>91</v>
      </c>
      <c r="BP7" s="39" t="s">
        <v>92</v>
      </c>
      <c r="BQ7" s="39" t="s">
        <v>93</v>
      </c>
      <c r="BR7" s="39" t="s">
        <v>94</v>
      </c>
      <c r="BS7" s="39" t="s">
        <v>95</v>
      </c>
      <c r="BT7" s="39" t="s">
        <v>96</v>
      </c>
      <c r="BU7" s="39" t="s">
        <v>97</v>
      </c>
      <c r="BV7" s="39" t="s">
        <v>98</v>
      </c>
      <c r="BW7" s="39" t="s">
        <v>99</v>
      </c>
    </row>
    <row r="8" spans="1:75">
      <c r="A8" s="39" t="s">
        <v>100</v>
      </c>
      <c r="B8" s="39" t="s">
        <v>101</v>
      </c>
      <c r="C8" s="48">
        <v>2.0350000000000001</v>
      </c>
      <c r="D8" s="48">
        <v>2.06</v>
      </c>
      <c r="E8" s="48">
        <v>2.0640000000000001</v>
      </c>
      <c r="F8" s="48">
        <v>2.0870000000000002</v>
      </c>
      <c r="G8" s="48">
        <v>2.1040000000000001</v>
      </c>
      <c r="H8" s="48">
        <v>2.1150000000000002</v>
      </c>
      <c r="I8" s="48">
        <v>2.1480000000000001</v>
      </c>
      <c r="J8" s="48">
        <v>2.169</v>
      </c>
      <c r="K8" s="48">
        <v>2.1869999999999998</v>
      </c>
      <c r="L8" s="48">
        <v>2.214</v>
      </c>
      <c r="M8" s="48">
        <v>2.2330000000000001</v>
      </c>
      <c r="N8" s="48">
        <v>2.2210000000000001</v>
      </c>
      <c r="O8" s="48">
        <v>2.234</v>
      </c>
      <c r="P8" s="48">
        <v>2.2599999999999998</v>
      </c>
      <c r="Q8" s="48">
        <v>2.274</v>
      </c>
      <c r="R8" s="48">
        <v>2.3010000000000002</v>
      </c>
      <c r="S8" s="48">
        <v>2.3210000000000002</v>
      </c>
      <c r="T8" s="48">
        <v>2.3620000000000001</v>
      </c>
      <c r="U8" s="48">
        <v>2.4020000000000001</v>
      </c>
      <c r="V8" s="48">
        <v>2.351</v>
      </c>
      <c r="W8" s="48">
        <v>2.3439999999999999</v>
      </c>
      <c r="X8" s="48">
        <v>2.3479999999999999</v>
      </c>
      <c r="Y8" s="48">
        <v>2.3690000000000002</v>
      </c>
      <c r="Z8" s="48">
        <v>2.383</v>
      </c>
      <c r="AA8" s="48">
        <v>2.383</v>
      </c>
      <c r="AB8" s="48">
        <v>2.3839999999999999</v>
      </c>
      <c r="AC8" s="48">
        <v>2.399</v>
      </c>
      <c r="AD8" s="48">
        <v>2.4220000000000002</v>
      </c>
      <c r="AE8" s="48">
        <v>2.4350000000000001</v>
      </c>
      <c r="AF8" s="48">
        <v>2.4780000000000002</v>
      </c>
      <c r="AG8" s="48">
        <v>2.4889999999999999</v>
      </c>
      <c r="AH8" s="48">
        <v>2.4969999999999999</v>
      </c>
      <c r="AI8" s="48">
        <v>2.5169999999999999</v>
      </c>
      <c r="AJ8" s="48">
        <v>2.52</v>
      </c>
      <c r="AK8" s="48">
        <v>2.5299999999999998</v>
      </c>
      <c r="AL8" s="48">
        <v>2.5489999999999999</v>
      </c>
      <c r="AM8" s="48">
        <v>2.5579999999999998</v>
      </c>
      <c r="AN8" s="48">
        <v>2.5539999999999998</v>
      </c>
      <c r="AO8" s="48">
        <v>2.5739999999999998</v>
      </c>
      <c r="AP8" s="48">
        <v>2.589</v>
      </c>
      <c r="AQ8" s="48">
        <v>2.601</v>
      </c>
      <c r="AR8" s="48">
        <v>2.6070000000000002</v>
      </c>
      <c r="AS8" s="48">
        <v>2.6139999999999999</v>
      </c>
      <c r="AT8" s="48">
        <v>2.617</v>
      </c>
      <c r="AU8" s="48">
        <v>2.6190000000000002</v>
      </c>
      <c r="AV8" s="48">
        <v>2.6230000000000002</v>
      </c>
      <c r="AW8" s="48">
        <v>2.621</v>
      </c>
      <c r="AX8" s="48">
        <v>2.629</v>
      </c>
      <c r="AY8" s="48">
        <v>2.6320000000000001</v>
      </c>
      <c r="AZ8" s="48">
        <v>2.6459999999999999</v>
      </c>
      <c r="BA8" s="48">
        <v>2.6659999999999999</v>
      </c>
      <c r="BB8" s="48">
        <v>2.6779999999999999</v>
      </c>
      <c r="BC8" s="48">
        <v>2.6960000000000002</v>
      </c>
      <c r="BD8" s="48">
        <v>2.694</v>
      </c>
      <c r="BE8" s="48">
        <v>2.7090000000000001</v>
      </c>
      <c r="BF8" s="48">
        <v>2.7240000000000002</v>
      </c>
      <c r="BG8" s="48">
        <v>2.7349999999999999</v>
      </c>
      <c r="BH8" s="48">
        <v>2.7440000000000002</v>
      </c>
      <c r="BI8" s="48">
        <v>2.76</v>
      </c>
      <c r="BJ8" s="48">
        <v>2.7759999999999998</v>
      </c>
      <c r="BK8" s="48">
        <v>2.7909999999999999</v>
      </c>
      <c r="BL8" s="48">
        <v>2.8090000000000002</v>
      </c>
      <c r="BM8" s="48">
        <v>2.8239999999999998</v>
      </c>
      <c r="BN8" s="48">
        <v>2.8460000000000001</v>
      </c>
      <c r="BO8" s="48">
        <v>2.8660000000000001</v>
      </c>
      <c r="BP8" s="48">
        <v>2.8849999999999998</v>
      </c>
      <c r="BQ8" s="48">
        <v>2.9049999999999998</v>
      </c>
      <c r="BR8" s="48">
        <v>2.9239999999999999</v>
      </c>
      <c r="BS8" s="48">
        <v>2.9420000000000002</v>
      </c>
      <c r="BT8" s="48">
        <v>2.96</v>
      </c>
      <c r="BU8" s="48">
        <v>2.9790000000000001</v>
      </c>
      <c r="BV8" s="48">
        <v>2.9980000000000002</v>
      </c>
    </row>
    <row r="9" spans="1:75" s="51" customFormat="1">
      <c r="A9" s="49" t="s">
        <v>102</v>
      </c>
      <c r="B9" s="49" t="s">
        <v>103</v>
      </c>
      <c r="C9" s="50">
        <v>2.0350000000000001</v>
      </c>
      <c r="D9" s="50">
        <v>2.06</v>
      </c>
      <c r="E9" s="50">
        <v>2.0640000000000001</v>
      </c>
      <c r="F9" s="50">
        <v>2.0870000000000002</v>
      </c>
      <c r="G9" s="50">
        <v>2.1040000000000001</v>
      </c>
      <c r="H9" s="50">
        <v>2.1150000000000002</v>
      </c>
      <c r="I9" s="50">
        <v>2.1480000000000001</v>
      </c>
      <c r="J9" s="50">
        <v>2.169</v>
      </c>
      <c r="K9" s="50">
        <v>2.1869999999999998</v>
      </c>
      <c r="L9" s="50">
        <v>2.214</v>
      </c>
      <c r="M9" s="50">
        <v>2.2330000000000001</v>
      </c>
      <c r="N9" s="50">
        <v>2.2210000000000001</v>
      </c>
      <c r="O9" s="50">
        <v>2.234</v>
      </c>
      <c r="P9" s="50">
        <v>2.2599999999999998</v>
      </c>
      <c r="Q9" s="50">
        <v>2.274</v>
      </c>
      <c r="R9" s="50">
        <v>2.3010000000000002</v>
      </c>
      <c r="S9" s="50">
        <v>2.3210000000000002</v>
      </c>
      <c r="T9" s="50">
        <v>2.3620000000000001</v>
      </c>
      <c r="U9" s="50">
        <v>2.4020000000000001</v>
      </c>
      <c r="V9" s="50">
        <v>2.351</v>
      </c>
      <c r="W9" s="50">
        <v>2.3439999999999999</v>
      </c>
      <c r="X9" s="50">
        <v>2.3479999999999999</v>
      </c>
      <c r="Y9" s="50">
        <v>2.3690000000000002</v>
      </c>
      <c r="Z9" s="50">
        <v>2.383</v>
      </c>
      <c r="AA9" s="50">
        <v>2.383</v>
      </c>
      <c r="AB9" s="50">
        <v>2.3839999999999999</v>
      </c>
      <c r="AC9" s="50">
        <v>2.399</v>
      </c>
      <c r="AD9" s="50">
        <v>2.4220000000000002</v>
      </c>
      <c r="AE9" s="50">
        <v>2.4350000000000001</v>
      </c>
      <c r="AF9" s="50">
        <v>2.4780000000000002</v>
      </c>
      <c r="AG9" s="50">
        <v>2.4889999999999999</v>
      </c>
      <c r="AH9" s="50">
        <v>2.4969999999999999</v>
      </c>
      <c r="AI9" s="50">
        <v>2.5169999999999999</v>
      </c>
      <c r="AJ9" s="50">
        <v>2.52</v>
      </c>
      <c r="AK9" s="50">
        <v>2.5299999999999998</v>
      </c>
      <c r="AL9" s="50">
        <v>2.5489999999999999</v>
      </c>
      <c r="AM9" s="50">
        <v>2.5579999999999998</v>
      </c>
      <c r="AN9" s="50">
        <v>2.5539999999999998</v>
      </c>
      <c r="AO9" s="50">
        <v>2.5739999999999998</v>
      </c>
      <c r="AP9" s="50">
        <v>2.589</v>
      </c>
      <c r="AQ9" s="50">
        <v>2.601</v>
      </c>
      <c r="AR9" s="50">
        <v>2.6070000000000002</v>
      </c>
      <c r="AS9" s="50">
        <v>2.6139999999999999</v>
      </c>
      <c r="AT9" s="50">
        <v>2.617</v>
      </c>
      <c r="AU9" s="50">
        <v>2.6190000000000002</v>
      </c>
      <c r="AV9" s="50">
        <v>2.6230000000000002</v>
      </c>
      <c r="AW9" s="50">
        <v>2.621</v>
      </c>
      <c r="AX9" s="50">
        <v>2.629</v>
      </c>
      <c r="AY9" s="50">
        <v>2.6320000000000001</v>
      </c>
      <c r="AZ9" s="50">
        <v>2.6459999999999999</v>
      </c>
      <c r="BA9" s="50">
        <v>2.6659999999999999</v>
      </c>
      <c r="BB9" s="50">
        <v>2.6779999999999999</v>
      </c>
      <c r="BC9" s="50">
        <v>2.6960000000000002</v>
      </c>
      <c r="BD9" s="50">
        <v>2.694</v>
      </c>
      <c r="BE9" s="50">
        <v>2.7090000000000001</v>
      </c>
      <c r="BF9" s="50">
        <v>2.7240000000000002</v>
      </c>
      <c r="BG9" s="50">
        <v>2.7349999999999999</v>
      </c>
      <c r="BH9" s="50">
        <v>2.742</v>
      </c>
      <c r="BI9" s="50">
        <v>2.7549999999999999</v>
      </c>
      <c r="BJ9" s="50">
        <v>2.7690000000000001</v>
      </c>
      <c r="BK9" s="50">
        <v>2.782</v>
      </c>
      <c r="BL9" s="50">
        <v>2.798</v>
      </c>
      <c r="BM9" s="50">
        <v>2.81</v>
      </c>
      <c r="BN9" s="50">
        <v>2.831</v>
      </c>
      <c r="BO9" s="50">
        <v>2.8490000000000002</v>
      </c>
      <c r="BP9" s="50">
        <v>2.8660000000000001</v>
      </c>
      <c r="BQ9" s="50">
        <v>2.883</v>
      </c>
      <c r="BR9" s="50">
        <v>2.899</v>
      </c>
      <c r="BS9" s="50">
        <v>2.915</v>
      </c>
      <c r="BT9" s="50">
        <v>2.931</v>
      </c>
      <c r="BU9" s="50">
        <v>2.9470000000000001</v>
      </c>
      <c r="BV9" s="50">
        <v>2.9620000000000002</v>
      </c>
    </row>
    <row r="10" spans="1:75">
      <c r="A10" s="39" t="s">
        <v>104</v>
      </c>
      <c r="B10" s="39" t="s">
        <v>105</v>
      </c>
      <c r="C10" s="48">
        <v>2.0350000000000001</v>
      </c>
      <c r="D10" s="48">
        <v>2.06</v>
      </c>
      <c r="E10" s="48">
        <v>2.0640000000000001</v>
      </c>
      <c r="F10" s="48">
        <v>2.0870000000000002</v>
      </c>
      <c r="G10" s="48">
        <v>2.1040000000000001</v>
      </c>
      <c r="H10" s="48">
        <v>2.1150000000000002</v>
      </c>
      <c r="I10" s="48">
        <v>2.1480000000000001</v>
      </c>
      <c r="J10" s="48">
        <v>2.169</v>
      </c>
      <c r="K10" s="48">
        <v>2.1869999999999998</v>
      </c>
      <c r="L10" s="48">
        <v>2.214</v>
      </c>
      <c r="M10" s="48">
        <v>2.2330000000000001</v>
      </c>
      <c r="N10" s="48">
        <v>2.2210000000000001</v>
      </c>
      <c r="O10" s="48">
        <v>2.234</v>
      </c>
      <c r="P10" s="48">
        <v>2.2599999999999998</v>
      </c>
      <c r="Q10" s="48">
        <v>2.274</v>
      </c>
      <c r="R10" s="48">
        <v>2.3010000000000002</v>
      </c>
      <c r="S10" s="48">
        <v>2.3210000000000002</v>
      </c>
      <c r="T10" s="48">
        <v>2.3620000000000001</v>
      </c>
      <c r="U10" s="48">
        <v>2.4020000000000001</v>
      </c>
      <c r="V10" s="48">
        <v>2.351</v>
      </c>
      <c r="W10" s="48">
        <v>2.3439999999999999</v>
      </c>
      <c r="X10" s="48">
        <v>2.3479999999999999</v>
      </c>
      <c r="Y10" s="48">
        <v>2.3690000000000002</v>
      </c>
      <c r="Z10" s="48">
        <v>2.383</v>
      </c>
      <c r="AA10" s="48">
        <v>2.383</v>
      </c>
      <c r="AB10" s="48">
        <v>2.3839999999999999</v>
      </c>
      <c r="AC10" s="48">
        <v>2.399</v>
      </c>
      <c r="AD10" s="48">
        <v>2.4220000000000002</v>
      </c>
      <c r="AE10" s="48">
        <v>2.4350000000000001</v>
      </c>
      <c r="AF10" s="48">
        <v>2.4780000000000002</v>
      </c>
      <c r="AG10" s="48">
        <v>2.4889999999999999</v>
      </c>
      <c r="AH10" s="48">
        <v>2.4969999999999999</v>
      </c>
      <c r="AI10" s="48">
        <v>2.5169999999999999</v>
      </c>
      <c r="AJ10" s="48">
        <v>2.52</v>
      </c>
      <c r="AK10" s="48">
        <v>2.5299999999999998</v>
      </c>
      <c r="AL10" s="48">
        <v>2.5489999999999999</v>
      </c>
      <c r="AM10" s="48">
        <v>2.5579999999999998</v>
      </c>
      <c r="AN10" s="48">
        <v>2.5539999999999998</v>
      </c>
      <c r="AO10" s="48">
        <v>2.5739999999999998</v>
      </c>
      <c r="AP10" s="48">
        <v>2.589</v>
      </c>
      <c r="AQ10" s="48">
        <v>2.601</v>
      </c>
      <c r="AR10" s="48">
        <v>2.6070000000000002</v>
      </c>
      <c r="AS10" s="48">
        <v>2.6139999999999999</v>
      </c>
      <c r="AT10" s="48">
        <v>2.617</v>
      </c>
      <c r="AU10" s="48">
        <v>2.6190000000000002</v>
      </c>
      <c r="AV10" s="48">
        <v>2.6230000000000002</v>
      </c>
      <c r="AW10" s="48">
        <v>2.621</v>
      </c>
      <c r="AX10" s="48">
        <v>2.629</v>
      </c>
      <c r="AY10" s="48">
        <v>2.6320000000000001</v>
      </c>
      <c r="AZ10" s="48">
        <v>2.6459999999999999</v>
      </c>
      <c r="BA10" s="48">
        <v>2.6659999999999999</v>
      </c>
      <c r="BB10" s="48">
        <v>2.6779999999999999</v>
      </c>
      <c r="BC10" s="48">
        <v>2.6960000000000002</v>
      </c>
      <c r="BD10" s="48">
        <v>2.694</v>
      </c>
      <c r="BE10" s="48">
        <v>2.7090000000000001</v>
      </c>
      <c r="BF10" s="48">
        <v>2.7240000000000002</v>
      </c>
      <c r="BG10" s="48">
        <v>2.7349999999999999</v>
      </c>
      <c r="BH10" s="48">
        <v>2.7480000000000002</v>
      </c>
      <c r="BI10" s="48">
        <v>2.766</v>
      </c>
      <c r="BJ10" s="48">
        <v>2.7839999999999998</v>
      </c>
      <c r="BK10" s="48">
        <v>2.802</v>
      </c>
      <c r="BL10" s="48">
        <v>2.823</v>
      </c>
      <c r="BM10" s="48">
        <v>2.843</v>
      </c>
      <c r="BN10" s="48">
        <v>2.8690000000000002</v>
      </c>
      <c r="BO10" s="48">
        <v>2.895</v>
      </c>
      <c r="BP10" s="48">
        <v>2.919</v>
      </c>
      <c r="BQ10" s="48">
        <v>2.9449999999999998</v>
      </c>
      <c r="BR10" s="48">
        <v>2.97</v>
      </c>
      <c r="BS10" s="48">
        <v>2.9950000000000001</v>
      </c>
      <c r="BT10" s="48">
        <v>3.02</v>
      </c>
      <c r="BU10" s="48">
        <v>3.0470000000000002</v>
      </c>
      <c r="BV10" s="48">
        <v>3.0739999999999998</v>
      </c>
    </row>
    <row r="15" spans="1:75">
      <c r="BF15" s="52" t="s">
        <v>106</v>
      </c>
      <c r="BG15" s="53"/>
      <c r="BH15" s="53"/>
      <c r="BI15" s="54" t="s">
        <v>107</v>
      </c>
      <c r="BJ15" s="55"/>
      <c r="BK15" s="55"/>
      <c r="BL15" s="55"/>
      <c r="BM15" s="55"/>
      <c r="BN15" s="55"/>
      <c r="BO15" s="53"/>
      <c r="BP15" s="53"/>
      <c r="BQ15" s="53"/>
    </row>
    <row r="16" spans="1:75">
      <c r="BF16" s="56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8"/>
    </row>
    <row r="17" spans="58:69">
      <c r="BF17" s="59"/>
      <c r="BG17" s="60" t="s">
        <v>108</v>
      </c>
      <c r="BH17" s="61" t="s">
        <v>109</v>
      </c>
      <c r="BI17" s="61"/>
      <c r="BJ17" s="61"/>
      <c r="BK17" s="61"/>
      <c r="BL17" s="61"/>
      <c r="BM17" s="61"/>
      <c r="BN17" s="61"/>
      <c r="BO17" s="61"/>
      <c r="BP17" s="61"/>
      <c r="BQ17" s="62"/>
    </row>
    <row r="18" spans="58:69">
      <c r="BF18" s="59"/>
      <c r="BG18" s="61"/>
      <c r="BH18" s="63" t="s">
        <v>90</v>
      </c>
      <c r="BI18" s="63"/>
      <c r="BJ18" s="63"/>
      <c r="BK18" s="63"/>
      <c r="BL18" s="61"/>
      <c r="BM18" s="61"/>
      <c r="BN18" s="61"/>
      <c r="BO18" s="61"/>
      <c r="BP18" s="61"/>
      <c r="BQ18" s="64" t="s">
        <v>110</v>
      </c>
    </row>
    <row r="19" spans="58:69">
      <c r="BF19" s="59"/>
      <c r="BG19" s="61"/>
      <c r="BH19" s="65">
        <f>BN9</f>
        <v>2.831</v>
      </c>
      <c r="BI19" s="65"/>
      <c r="BJ19" s="65"/>
      <c r="BK19" s="65"/>
      <c r="BL19" s="61"/>
      <c r="BM19" s="61"/>
      <c r="BN19" s="61"/>
      <c r="BO19" s="61"/>
      <c r="BP19" s="61"/>
      <c r="BQ19" s="66">
        <f>AVERAGE(BH19:BK19)</f>
        <v>2.831</v>
      </c>
    </row>
    <row r="20" spans="58:69">
      <c r="BF20" s="59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7"/>
    </row>
    <row r="21" spans="58:69">
      <c r="BF21" s="59"/>
      <c r="BG21" s="60" t="s">
        <v>111</v>
      </c>
      <c r="BH21" s="61" t="s">
        <v>112</v>
      </c>
      <c r="BI21" s="61"/>
      <c r="BJ21" s="61"/>
      <c r="BK21" s="61"/>
      <c r="BL21" s="61"/>
      <c r="BM21" s="61"/>
      <c r="BN21" s="61"/>
      <c r="BO21" s="61"/>
      <c r="BP21" s="61"/>
      <c r="BQ21" s="67"/>
    </row>
    <row r="22" spans="58:69">
      <c r="BF22" s="59"/>
      <c r="BG22" s="61"/>
      <c r="BH22" s="39" t="str">
        <f>BM7</f>
        <v>2019Q3</v>
      </c>
      <c r="BI22" s="39" t="str">
        <f t="shared" ref="BI22:BO22" si="0">BN7</f>
        <v>2019Q4</v>
      </c>
      <c r="BJ22" s="39" t="str">
        <f t="shared" si="0"/>
        <v>2020Q1</v>
      </c>
      <c r="BK22" s="39" t="str">
        <f t="shared" si="0"/>
        <v>2020Q2</v>
      </c>
      <c r="BL22" s="39" t="str">
        <f t="shared" si="0"/>
        <v>2020Q3</v>
      </c>
      <c r="BM22" s="39" t="str">
        <f t="shared" si="0"/>
        <v>2020Q4</v>
      </c>
      <c r="BN22" s="39" t="str">
        <f t="shared" si="0"/>
        <v>2021Q1</v>
      </c>
      <c r="BO22" s="39" t="str">
        <f t="shared" si="0"/>
        <v>2021Q2</v>
      </c>
      <c r="BP22" s="61"/>
      <c r="BQ22" s="67"/>
    </row>
    <row r="23" spans="58:69">
      <c r="BF23" s="59"/>
      <c r="BG23" s="61"/>
      <c r="BH23" s="50">
        <f>BM9</f>
        <v>2.81</v>
      </c>
      <c r="BI23" s="50">
        <f t="shared" ref="BI23:BO23" si="1">BN9</f>
        <v>2.831</v>
      </c>
      <c r="BJ23" s="50">
        <f t="shared" si="1"/>
        <v>2.8490000000000002</v>
      </c>
      <c r="BK23" s="50">
        <f t="shared" si="1"/>
        <v>2.8660000000000001</v>
      </c>
      <c r="BL23" s="50">
        <f t="shared" si="1"/>
        <v>2.883</v>
      </c>
      <c r="BM23" s="50">
        <f t="shared" si="1"/>
        <v>2.899</v>
      </c>
      <c r="BN23" s="50">
        <f t="shared" si="1"/>
        <v>2.915</v>
      </c>
      <c r="BO23" s="50">
        <f t="shared" si="1"/>
        <v>2.931</v>
      </c>
      <c r="BP23" s="61"/>
      <c r="BQ23" s="66">
        <f>AVERAGE(BH23:BO23)</f>
        <v>2.8730000000000002</v>
      </c>
    </row>
    <row r="24" spans="58:69">
      <c r="BF24" s="59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7"/>
    </row>
    <row r="25" spans="58:69">
      <c r="BF25" s="59"/>
      <c r="BG25" s="61"/>
      <c r="BH25" s="61"/>
      <c r="BI25" s="61"/>
      <c r="BJ25" s="61"/>
      <c r="BK25" s="61"/>
      <c r="BL25" s="61"/>
      <c r="BM25" s="61"/>
      <c r="BN25" s="61"/>
      <c r="BO25" s="61"/>
      <c r="BP25" s="68" t="s">
        <v>113</v>
      </c>
      <c r="BQ25" s="69">
        <f>(BQ23-BQ19)/BQ19</f>
        <v>1.4835747085835486E-2</v>
      </c>
    </row>
    <row r="26" spans="58:69">
      <c r="BF26" s="70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2"/>
    </row>
    <row r="35" spans="66:66">
      <c r="BN35" s="73" t="s">
        <v>114</v>
      </c>
    </row>
  </sheetData>
  <mergeCells count="3">
    <mergeCell ref="A1:B1"/>
    <mergeCell ref="A2:B2"/>
    <mergeCell ref="A3:B3"/>
  </mergeCells>
  <pageMargins left="0.25" right="0.25" top="1" bottom="1" header="0.5" footer="0.5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CAF Fall 2018</vt:lpstr>
      <vt:lpstr>Models</vt:lpstr>
      <vt:lpstr> DC Add-On</vt:lpstr>
      <vt:lpstr> Travel</vt:lpstr>
      <vt:lpstr> Rates Chart</vt:lpstr>
      <vt:lpstr>CAF Spring 2018</vt:lpstr>
      <vt:lpstr>' Rates Chart'!Print_Area</vt:lpstr>
      <vt:lpstr>' Travel'!Print_Area</vt:lpstr>
      <vt:lpstr>'CAF Spring 2018'!Print_Area</vt:lpstr>
      <vt:lpstr>Models!Print_Area</vt:lpstr>
      <vt:lpstr>'CAF Fall 2018'!Print_Titles</vt:lpstr>
      <vt:lpstr>'CAF Spring 2018'!Print_Titles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Hogan, Shannon (EHS)</dc:creator>
  <cp:lastModifiedBy> </cp:lastModifiedBy>
  <cp:lastPrinted>2019-01-23T18:39:49Z</cp:lastPrinted>
  <dcterms:created xsi:type="dcterms:W3CDTF">2018-09-11T18:49:47Z</dcterms:created>
  <dcterms:modified xsi:type="dcterms:W3CDTF">2019-01-23T18:41:39Z</dcterms:modified>
</cp:coreProperties>
</file>