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https://massgov-my.sharepoint.com/personal/brett_marks_mass_gov/Documents/B-Open Projects/UMass Marlborough Hospital - Lynn/"/>
    </mc:Choice>
  </mc:AlternateContent>
  <xr:revisionPtr revIDLastSave="20" documentId="8_{A2272A46-5A9C-4FDC-B4C6-D2272C164572}" xr6:coauthVersionLast="47" xr6:coauthVersionMax="47" xr10:uidLastSave="{24349570-21BE-4361-8C0C-0BF46D45ABB9}"/>
  <bookViews>
    <workbookView xWindow="-110" yWindow="-110" windowWidth="19420" windowHeight="10300" xr2:uid="{0F246B95-CD99-43D9-B7F8-AFA6767B4EBE}"/>
  </bookViews>
  <sheets>
    <sheet name="Hospital Only Payor Mix" sheetId="4" r:id="rId1"/>
    <sheet name="Data Request Summary" sheetId="3" r:id="rId2"/>
    <sheet name="Top15 DRGs" sheetId="1" r:id="rId3"/>
    <sheet name="Top 10 Community Discharges" sheetId="2" r:id="rId4"/>
  </sheets>
  <definedNames>
    <definedName name="__123Graph_A" localSheetId="0" hidden="1">#REF!</definedName>
    <definedName name="__123Graph_A" hidden="1">#REF!</definedName>
    <definedName name="__123Graph_B" localSheetId="0" hidden="1">#REF!</definedName>
    <definedName name="__123Graph_B" hidden="1">#REF!</definedName>
    <definedName name="__123Graph_C" localSheetId="0" hidden="1">#REF!</definedName>
    <definedName name="__123Graph_C" hidden="1">#REF!</definedName>
    <definedName name="__123Graph_D" hidden="1">#REF!</definedName>
    <definedName name="__123Graph_E" hidden="1">#REF!</definedName>
    <definedName name="__123Graph_F" hidden="1">#REF!</definedName>
    <definedName name="__IntlFixup" hidden="1">TRUE</definedName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MacroRecalculationBehavior" hidden="1">0</definedName>
    <definedName name="_AtRisk_SimSetting_RandomNumberGenerator" hidden="1">0</definedName>
    <definedName name="_AtRisk_SimSetting_ReportsList" hidden="1">0</definedName>
    <definedName name="_AtRisk_SimSetting_ShowSimulationProgressWindow" hidden="1">TRUE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Fill" hidden="1">#REF!</definedName>
    <definedName name="_Key1" hidden="1">#REF!</definedName>
    <definedName name="_Key2" hidden="1">#REF!</definedName>
    <definedName name="_no2" localSheetId="0" hidden="1">{TRUE,TRUE,-1.25,-15.5,484.5,276.75,FALSE,TRUE,TRUE,TRUE,0,4,#N/A,75,#N/A,11.6964285714286,15.4230769230769,1,FALSE,FALSE,3,TRUE,1,FALSE,100,"Swvu.PACU1.","ACwvu.PACU1.",#N/A,FALSE,FALSE,0.75,0.75,1.75,1,1,"&amp;C&amp;12ST. VINCENT HOSPITAL
PACU STATISTICS
JULY, 1995 - JUNE 1996&amp;10
","&amp;L&amp;D
&amp;F
PACU2
",FALSE,FALSE,FALSE,TRUE,1,100,#N/A,#N/A,"=R1C1:R80C9",FALSE,"Rwvu.PACU1.",#N/A,FALSE,FALSE,FALSE,1,180,180,FALSE,FALSE,TRUE,TRUE,TRUE}</definedName>
    <definedName name="_no2" hidden="1">{TRUE,TRUE,-1.25,-15.5,484.5,276.75,FALSE,TRUE,TRUE,TRUE,0,4,#N/A,75,#N/A,11.6964285714286,15.4230769230769,1,FALSE,FALSE,3,TRUE,1,FALSE,100,"Swvu.PACU1.","ACwvu.PACU1.",#N/A,FALSE,FALSE,0.75,0.75,1.75,1,1,"&amp;C&amp;12ST. VINCENT HOSPITAL
PACU STATISTICS
JULY, 1995 - JUNE 1996&amp;10
","&amp;L&amp;D
&amp;F
PACU2
",FALSE,FALSE,FALSE,TRUE,1,100,#N/A,#N/A,"=R1C1:R80C9",FALSE,"Rwvu.PACU1.",#N/A,FALSE,FALSE,FALSE,1,180,180,FALSE,FALSE,TRUE,TRUE,TRUE}</definedName>
    <definedName name="_NO3" localSheetId="0" hidden="1">{TRUE,TRUE,-1.25,-15.5,484.5,276.75,FALSE,TRUE,TRUE,TRUE,0,4,#N/A,75,#N/A,11.6964285714286,15.4230769230769,1,FALSE,FALSE,3,TRUE,1,FALSE,100,"Swvu.PACU1.","ACwvu.PACU1.",#N/A,FALSE,FALSE,0.75,0.75,1.75,1,1,"&amp;C&amp;12ST. VINCENT HOSPITAL
PACU STATISTICS
JULY, 1995 - JUNE 1996&amp;10
","&amp;L&amp;D
&amp;F
PACU2
",FALSE,FALSE,FALSE,TRUE,1,100,#N/A,#N/A,"=R1C1:R80C9",FALSE,"Rwvu.PACU1.",#N/A,FALSE,FALSE,FALSE,1,180,180,FALSE,FALSE,TRUE,TRUE,TRUE}</definedName>
    <definedName name="_NO3" hidden="1">{TRUE,TRUE,-1.25,-15.5,484.5,276.75,FALSE,TRUE,TRUE,TRUE,0,4,#N/A,75,#N/A,11.6964285714286,15.4230769230769,1,FALSE,FALSE,3,TRUE,1,FALSE,100,"Swvu.PACU1.","ACwvu.PACU1.",#N/A,FALSE,FALSE,0.75,0.75,1.75,1,1,"&amp;C&amp;12ST. VINCENT HOSPITAL
PACU STATISTICS
JULY, 1995 - JUNE 1996&amp;10
","&amp;L&amp;D
&amp;F
PACU2
",FALSE,FALSE,FALSE,TRUE,1,100,#N/A,#N/A,"=R1C1:R80C9",FALSE,"Rwvu.PACU1.",#N/A,FALSE,FALSE,FALSE,1,180,180,FALSE,FALSE,TRUE,TRUE,TRUE}</definedName>
    <definedName name="_Order1" hidden="1">255</definedName>
    <definedName name="_Order2" hidden="1">255</definedName>
    <definedName name="_Sort" localSheetId="0" hidden="1">#REF!</definedName>
    <definedName name="_Sort" hidden="1">#REF!</definedName>
    <definedName name="adfg" localSheetId="0" hidden="1">{#N/A,#N/A,TRUE,"Monthly BCG";#N/A,#N/A,TRUE,"Monthly w|o Wireless";#N/A,#N/A,TRUE,"Monthly Wireless"}</definedName>
    <definedName name="adfg" hidden="1">{#N/A,#N/A,TRUE,"Monthly BCG";#N/A,#N/A,TRUE,"Monthly w|o Wireless";#N/A,#N/A,TRUE,"Monthly Wireless"}</definedName>
    <definedName name="APAC_New" localSheetId="0" hidden="1">{"'SGI_Opex'!$A$1:$O$187"}</definedName>
    <definedName name="APAC_New" hidden="1">{"'SGI_Opex'!$A$1:$O$187"}</definedName>
    <definedName name="as" localSheetId="0" hidden="1">{#N/A,#N/A,FALSE,"Qrt Fcst";#N/A,#N/A,FALSE,"Qrt Fcst vs Plan &amp; PY";#N/A,#N/A,FALSE,"FY Fcst vs Plan &amp; PY";#N/A,#N/A,FALSE,"EVA CAP";#N/A,#N/A,FALSE,"EVA NOPAT"}</definedName>
    <definedName name="as" hidden="1">{#N/A,#N/A,FALSE,"Qrt Fcst";#N/A,#N/A,FALSE,"Qrt Fcst vs Plan &amp; PY";#N/A,#N/A,FALSE,"FY Fcst vs Plan &amp; PY";#N/A,#N/A,FALSE,"EVA CAP";#N/A,#N/A,FALSE,"EVA NOPAT"}</definedName>
    <definedName name="AS2DocOpenMode" hidden="1">"AS2DocumentEdit"</definedName>
    <definedName name="AS2NamedRange" hidden="1">3</definedName>
    <definedName name="AS2ReportLS" hidden="1">1</definedName>
    <definedName name="AS2SyncStepLS" hidden="1">0</definedName>
    <definedName name="AS2TickmarkLS" localSheetId="0" hidden="1">#REF!</definedName>
    <definedName name="AS2TickmarkLS" hidden="1">#REF!</definedName>
    <definedName name="AS2VersionLS" hidden="1">300</definedName>
    <definedName name="asdf" localSheetId="0" hidden="1">{#N/A,#N/A,FALSE,"Qrt Fcst";#N/A,#N/A,FALSE,"Qrt Fcst vs Plan &amp; PY";#N/A,#N/A,FALSE,"FY Fcst vs Plan &amp; PY";#N/A,#N/A,FALSE,"EVA CAP";#N/A,#N/A,FALSE,"EVA NOPAT"}</definedName>
    <definedName name="asdf" hidden="1">{#N/A,#N/A,FALSE,"Qrt Fcst";#N/A,#N/A,FALSE,"Qrt Fcst vs Plan &amp; PY";#N/A,#N/A,FALSE,"FY Fcst vs Plan &amp; PY";#N/A,#N/A,FALSE,"EVA CAP";#N/A,#N/A,FALSE,"EVA NOPAT"}</definedName>
    <definedName name="asf" localSheetId="0" hidden="1">{#N/A,#N/A,TRUE,"Monthly BCG";#N/A,#N/A,TRUE,"Qrt BCG";#N/A,#N/A,TRUE,"FY BCG";#N/A,#N/A,TRUE,"1Q BCG";#N/A,#N/A,TRUE,"2Q BCG";#N/A,#N/A,TRUE,"3Q BCG";#N/A,#N/A,TRUE,"4Q BCG"}</definedName>
    <definedName name="asf" hidden="1">{#N/A,#N/A,TRUE,"Monthly BCG";#N/A,#N/A,TRUE,"Qrt BCG";#N/A,#N/A,TRUE,"FY BCG";#N/A,#N/A,TRUE,"1Q BCG";#N/A,#N/A,TRUE,"2Q BCG";#N/A,#N/A,TRUE,"3Q BCG";#N/A,#N/A,TRUE,"4Q BCG"}</definedName>
    <definedName name="aw" localSheetId="0" hidden="1">{"Admin.",#N/A,FALSE,"ccs";"Alloc.",#N/A,FALSE,"ccs";"BS Inactive",#N/A,FALSE,"ccs";"CU Eng.",#N/A,FALSE,"ccs";"CU Mfg.",#N/A,FALSE,"ccs";"CU Mfg.",#N/A,FALSE,"ccs";"CU Mktg.",#N/A,FALSE,"ccs";"CU PM",#N/A,FALSE,"ccs";"Eng.",#N/A,FALSE,"ccs";"FBR Admin",#N/A,FALSE,"ccs";"FBR China",#N/A,FALSE,"ccs";"FBR Eng.",#N/A,FALSE,"ccs";"FBR Mktg.",#N/A,FALSE,"ccs";"FBR PM",#N/A,FALSE,"ccs";"FRBMfg",#N/A,FALSE,"ccs";"Mfg.",#N/A,FALSE,"ccs";"Mktg.",#N/A,FALSE,"ccs";"Non Op.",#N/A,FALSE,"ccs";"Sales",#N/A,FALSE,"ccs";"WLS Admin.",#N/A,FALSE,"ccs";"WLS Eng.",#N/A,FALSE,"ccs";"WLS Mfg.",#N/A,FALSE,"ccs";"WLS Mktg.",#N/A,FALSE,"ccs";"WLS PM",#N/A,FALSE,"ccs"}</definedName>
    <definedName name="aw" hidden="1">{"Admin.",#N/A,FALSE,"ccs";"Alloc.",#N/A,FALSE,"ccs";"BS Inactive",#N/A,FALSE,"ccs";"CU Eng.",#N/A,FALSE,"ccs";"CU Mfg.",#N/A,FALSE,"ccs";"CU Mfg.",#N/A,FALSE,"ccs";"CU Mktg.",#N/A,FALSE,"ccs";"CU PM",#N/A,FALSE,"ccs";"Eng.",#N/A,FALSE,"ccs";"FBR Admin",#N/A,FALSE,"ccs";"FBR China",#N/A,FALSE,"ccs";"FBR Eng.",#N/A,FALSE,"ccs";"FBR Mktg.",#N/A,FALSE,"ccs";"FBR PM",#N/A,FALSE,"ccs";"FRBMfg",#N/A,FALSE,"ccs";"Mfg.",#N/A,FALSE,"ccs";"Mktg.",#N/A,FALSE,"ccs";"Non Op.",#N/A,FALSE,"ccs";"Sales",#N/A,FALSE,"ccs";"WLS Admin.",#N/A,FALSE,"ccs";"WLS Eng.",#N/A,FALSE,"ccs";"WLS Mfg.",#N/A,FALSE,"ccs";"WLS Mktg.",#N/A,FALSE,"ccs";"WLS PM",#N/A,FALSE,"ccs"}</definedName>
    <definedName name="BG_Del" hidden="1">15</definedName>
    <definedName name="BG_Ins" hidden="1">4</definedName>
    <definedName name="BG_Mod" hidden="1">6</definedName>
    <definedName name="BNE_MESSAGES_HIDDEN" localSheetId="0" hidden="1">#REF!</definedName>
    <definedName name="BNE_MESSAGES_HIDDEN" hidden="1">#REF!</definedName>
    <definedName name="chris" localSheetId="0" hidden="1">{TRUE,TRUE,-1.25,-15.5,484.5,276.75,FALSE,TRUE,TRUE,TRUE,0,4,#N/A,75,#N/A,11.6964285714286,15.4230769230769,1,FALSE,FALSE,3,TRUE,1,FALSE,100,"Swvu.PACU1.","ACwvu.PACU1.",#N/A,FALSE,FALSE,0.75,0.75,1.75,1,1,"&amp;C&amp;12ST. VINCENT HOSPITAL
PACU STATISTICS
JULY, 1995 - JUNE 1996&amp;10
","&amp;L&amp;D
&amp;F
PACU2
",FALSE,FALSE,FALSE,TRUE,1,100,#N/A,#N/A,"=R1C1:R80C9",FALSE,"Rwvu.PACU1.",#N/A,FALSE,FALSE,FALSE,1,180,180,FALSE,FALSE,TRUE,TRUE,TRUE}</definedName>
    <definedName name="chris" hidden="1">{TRUE,TRUE,-1.25,-15.5,484.5,276.75,FALSE,TRUE,TRUE,TRUE,0,4,#N/A,75,#N/A,11.6964285714286,15.4230769230769,1,FALSE,FALSE,3,TRUE,1,FALSE,100,"Swvu.PACU1.","ACwvu.PACU1.",#N/A,FALSE,FALSE,0.75,0.75,1.75,1,1,"&amp;C&amp;12ST. VINCENT HOSPITAL
PACU STATISTICS
JULY, 1995 - JUNE 1996&amp;10
","&amp;L&amp;D
&amp;F
PACU2
",FALSE,FALSE,FALSE,TRUE,1,100,#N/A,#N/A,"=R1C1:R80C9",FALSE,"Rwvu.PACU1.",#N/A,FALSE,FALSE,FALSE,1,180,180,FALSE,FALSE,TRUE,TRUE,TRUE}</definedName>
    <definedName name="cp" localSheetId="0" hidden="1">{TRUE,TRUE,-1.25,-15.5,964.5,699.75,FALSE,TRUE,TRUE,TRUE,0,1,2,19,#N/A,1,133,2,TRUE,FALSE,3,TRUE,1,TRUE,100,"Swvu.IMSD._.Only.","ACwvu.IMSD._.Only.",#N/A,FALSE,FALSE,0.75,0.75,0.75,0.75,2,"","&amp;LBy Steve Abel&amp;C&amp;F  &amp;A&amp;R&amp;D  &amp;T",TRUE,FALSE,FALSE,FALSE,1,61,#N/A,#N/A,"=R1C1:R206C15","=R1:R5",#N/A,"Cwvu.IMSD._.Only.",FALSE,FALSE,TRUE,1,300,300,FALSE,FALSE,TRUE,TRUE,TRUE}</definedName>
    <definedName name="cp" hidden="1">{TRUE,TRUE,-1.25,-15.5,964.5,699.75,FALSE,TRUE,TRUE,TRUE,0,1,2,19,#N/A,1,133,2,TRUE,FALSE,3,TRUE,1,TRUE,100,"Swvu.IMSD._.Only.","ACwvu.IMSD._.Only.",#N/A,FALSE,FALSE,0.75,0.75,0.75,0.75,2,"","&amp;LBy Steve Abel&amp;C&amp;F  &amp;A&amp;R&amp;D  &amp;T",TRUE,FALSE,FALSE,FALSE,1,61,#N/A,#N/A,"=R1C1:R206C15","=R1:R5",#N/A,"Cwvu.IMSD._.Only.",FALSE,FALSE,TRUE,1,300,300,FALSE,FALSE,TRUE,TRUE,TRUE}</definedName>
    <definedName name="da" localSheetId="0" hidden="1">{TRUE,TRUE,-1.25,-15.5,484.5,276.75,FALSE,TRUE,TRUE,TRUE,0,4,#N/A,75,#N/A,11.6964285714286,15.4230769230769,1,FALSE,FALSE,3,TRUE,1,FALSE,100,"Swvu.PACU1.","ACwvu.PACU1.",#N/A,FALSE,FALSE,0.75,0.75,1.75,1,1,"&amp;C&amp;12ST. VINCENT HOSPITAL
PACU STATISTICS
JULY, 1995 - JUNE 1996&amp;10
","&amp;L&amp;D
&amp;F
PACU2
",FALSE,FALSE,FALSE,TRUE,1,100,#N/A,#N/A,"=R1C1:R80C9",FALSE,"Rwvu.PACU1.",#N/A,FALSE,FALSE,FALSE,1,180,180,FALSE,FALSE,TRUE,TRUE,TRUE}</definedName>
    <definedName name="da" hidden="1">{TRUE,TRUE,-1.25,-15.5,484.5,276.75,FALSE,TRUE,TRUE,TRUE,0,4,#N/A,75,#N/A,11.6964285714286,15.4230769230769,1,FALSE,FALSE,3,TRUE,1,FALSE,100,"Swvu.PACU1.","ACwvu.PACU1.",#N/A,FALSE,FALSE,0.75,0.75,1.75,1,1,"&amp;C&amp;12ST. VINCENT HOSPITAL
PACU STATISTICS
JULY, 1995 - JUNE 1996&amp;10
","&amp;L&amp;D
&amp;F
PACU2
",FALSE,FALSE,FALSE,TRUE,1,100,#N/A,#N/A,"=R1C1:R80C9",FALSE,"Rwvu.PACU1.",#N/A,FALSE,FALSE,FALSE,1,180,180,FALSE,FALSE,TRUE,TRUE,TRUE}</definedName>
    <definedName name="delete" localSheetId="0" hidden="1">{TRUE,TRUE,-1.25,-15.5,484.5,276.75,FALSE,TRUE,TRUE,TRUE,0,4,#N/A,75,#N/A,11.6964285714286,15.4230769230769,1,FALSE,FALSE,3,TRUE,1,FALSE,100,"Swvu.PACU1.","ACwvu.PACU1.",#N/A,FALSE,FALSE,0.75,0.75,1.75,1,1,"&amp;C&amp;12ST. VINCENT HOSPITAL
PACU STATISTICS
JULY, 1995 - JUNE 1996&amp;10
","&amp;L&amp;D
&amp;F
PACU2
",FALSE,FALSE,FALSE,TRUE,1,100,#N/A,#N/A,"=R1C1:R80C9",FALSE,"Rwvu.PACU1.",#N/A,FALSE,FALSE,FALSE,1,180,180,FALSE,FALSE,TRUE,TRUE,TRUE}</definedName>
    <definedName name="delete" hidden="1">{TRUE,TRUE,-1.25,-15.5,484.5,276.75,FALSE,TRUE,TRUE,TRUE,0,4,#N/A,75,#N/A,11.6964285714286,15.4230769230769,1,FALSE,FALSE,3,TRUE,1,FALSE,100,"Swvu.PACU1.","ACwvu.PACU1.",#N/A,FALSE,FALSE,0.75,0.75,1.75,1,1,"&amp;C&amp;12ST. VINCENT HOSPITAL
PACU STATISTICS
JULY, 1995 - JUNE 1996&amp;10
","&amp;L&amp;D
&amp;F
PACU2
",FALSE,FALSE,FALSE,TRUE,1,100,#N/A,#N/A,"=R1C1:R80C9",FALSE,"Rwvu.PACU1.",#N/A,FALSE,FALSE,FALSE,1,180,180,FALSE,FALSE,TRUE,TRUE,TRUE}</definedName>
    <definedName name="df" localSheetId="0" hidden="1">{#N/A,#N/A,TRUE,"FY BCG";#N/A,#N/A,TRUE,"FY w|o Wireless";#N/A,#N/A,TRUE,"FY Wireless"}</definedName>
    <definedName name="df" hidden="1">{#N/A,#N/A,TRUE,"FY BCG";#N/A,#N/A,TRUE,"FY w|o Wireless";#N/A,#N/A,TRUE,"FY Wireless"}</definedName>
    <definedName name="Fed_New" localSheetId="0" hidden="1">{"'SGI_Opex'!$A$1:$O$187"}</definedName>
    <definedName name="Fed_New" hidden="1">{"'SGI_Opex'!$A$1:$O$187"}</definedName>
    <definedName name="FEDERAL" localSheetId="0" hidden="1">{"'SGI_Opex'!$A$1:$O$187"}</definedName>
    <definedName name="FEDERAL" hidden="1">{"'SGI_Opex'!$A$1:$O$187"}</definedName>
    <definedName name="fxdghsfgh" localSheetId="0" hidden="1">{#N/A,#N/A,TRUE,"Monthly w|o Wireless";#N/A,#N/A,TRUE,"Qrt w|o Wireless";#N/A,#N/A,TRUE,"FY w|o Wireless";#N/A,#N/A,TRUE,"1Q w|o Wireless";#N/A,#N/A,TRUE,"2Q w|o Wireless";#N/A,#N/A,TRUE,"3Q w|o Wireless";#N/A,#N/A,TRUE,"4Q w|o Wireless"}</definedName>
    <definedName name="fxdghsfgh" hidden="1">{#N/A,#N/A,TRUE,"Monthly w|o Wireless";#N/A,#N/A,TRUE,"Qrt w|o Wireless";#N/A,#N/A,TRUE,"FY w|o Wireless";#N/A,#N/A,TRUE,"1Q w|o Wireless";#N/A,#N/A,TRUE,"2Q w|o Wireless";#N/A,#N/A,TRUE,"3Q w|o Wireless";#N/A,#N/A,TRUE,"4Q w|o Wireless"}</definedName>
    <definedName name="hhh" localSheetId="0" hidden="1">{#N/A,#N/A,TRUE,"4Q BCG";#N/A,#N/A,TRUE,"4Q w|o Wireless";#N/A,#N/A,TRUE,"4Q Wireless"}</definedName>
    <definedName name="hhh" hidden="1">{#N/A,#N/A,TRUE,"4Q BCG";#N/A,#N/A,TRUE,"4Q w|o Wireless";#N/A,#N/A,TRUE,"4Q Wireless"}</definedName>
    <definedName name="HSKPG_Staffing_NIB" localSheetId="0" hidden="1">{TRUE,TRUE,-1.25,-15.5,484.5,276.75,FALSE,TRUE,TRUE,TRUE,0,4,#N/A,75,#N/A,11.6964285714286,15.4230769230769,1,FALSE,FALSE,3,TRUE,1,FALSE,100,"Swvu.PACU1.","ACwvu.PACU1.",#N/A,FALSE,FALSE,0.75,0.75,1.75,1,1,"&amp;C&amp;12ST. VINCENT HOSPITAL
PACU STATISTICS
JULY, 1995 - JUNE 1996&amp;10
","&amp;L&amp;D
&amp;F
PACU2
",FALSE,FALSE,FALSE,TRUE,1,100,#N/A,#N/A,"=R1C1:R80C9",FALSE,"Rwvu.PACU1.",#N/A,FALSE,FALSE,FALSE,1,180,180,FALSE,FALSE,TRUE,TRUE,TRUE}</definedName>
    <definedName name="HSKPG_Staffing_NIB" hidden="1">{TRUE,TRUE,-1.25,-15.5,484.5,276.75,FALSE,TRUE,TRUE,TRUE,0,4,#N/A,75,#N/A,11.6964285714286,15.4230769230769,1,FALSE,FALSE,3,TRUE,1,FALSE,100,"Swvu.PACU1.","ACwvu.PACU1.",#N/A,FALSE,FALSE,0.75,0.75,1.75,1,1,"&amp;C&amp;12ST. VINCENT HOSPITAL
PACU STATISTICS
JULY, 1995 - JUNE 1996&amp;10
","&amp;L&amp;D
&amp;F
PACU2
",FALSE,FALSE,FALSE,TRUE,1,100,#N/A,#N/A,"=R1C1:R80C9",FALSE,"Rwvu.PACU1.",#N/A,FALSE,FALSE,FALSE,1,180,180,FALSE,FALSE,TRUE,TRUE,TRUE}</definedName>
    <definedName name="HTML_CodePage" hidden="1">1252</definedName>
    <definedName name="HTML_Control" localSheetId="0" hidden="1">{"'Sheet1'!$A$4:$M$36"}</definedName>
    <definedName name="HTML_Control" hidden="1">{"'Sheet1'!$A$4:$M$36"}</definedName>
    <definedName name="HTML_Description" hidden="1">""</definedName>
    <definedName name="HTML_Email" hidden="1">""</definedName>
    <definedName name="HTML_Header" hidden="1">""</definedName>
    <definedName name="HTML_LastUpdate" hidden="1">"2/26/2003"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"H:\Home\Dcs\data.htm"</definedName>
    <definedName name="HTML_Title" hidden="1">"SOP2755:Vendor Sales Order Worksheet"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DIN" hidden="1">"AUTO"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MT_OUT" hidden="1">"c2145"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SHAREOUTSTANDING" hidden="1">"c83"</definedName>
    <definedName name="IQ_AVG_TEV" hidden="1">"c84"</definedName>
    <definedName name="IQ_AVG_VOLUME" hidden="1">"c1346"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ROK_COMISSION" hidden="1">"c98"</definedName>
    <definedName name="IQ_BUILDINGS" hidden="1">"c99"</definedName>
    <definedName name="IQ_BUSINESS_DESCRIPTION" hidden="1">"c322"</definedName>
    <definedName name="IQ_BV_OVER_SHARES" hidden="1">"c1349"</definedName>
    <definedName name="IQ_BV_SHARE" hidden="1">"c100"</definedName>
    <definedName name="IQ_CAL_Q" hidden="1">"c101"</definedName>
    <definedName name="IQ_CAL_Y" hidden="1">"c102"</definedName>
    <definedName name="IQ_CALL_FEATURE" hidden="1">"c2197"</definedName>
    <definedName name="IQ_CALLABLE" hidden="1">"c2196"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IZED_INTEREST" hidden="1">"c2076"</definedName>
    <definedName name="IQ_CASH" hidden="1">"c1458"</definedName>
    <definedName name="IQ_CASH_ACQUIRE_CF" hidden="1">"c1630"</definedName>
    <definedName name="IQ_CASH_CONVERSION" hidden="1">"c117"</definedName>
    <definedName name="IQ_CASH_DUE_BANKS" hidden="1">"c1351"</definedName>
    <definedName name="IQ_CASH_EQUIV" hidden="1">"c118"</definedName>
    <definedName name="IQ_CASH_FINAN" hidden="1">"c119"</definedName>
    <definedName name="IQ_CASH_INTEREST" hidden="1">"c120"</definedName>
    <definedName name="IQ_CASH_INVEST" hidden="1">"c121"</definedName>
    <definedName name="IQ_CASH_OPER" hidden="1">"c122"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H" hidden="1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WORKING_CAPITAL" hidden="1">"c1909"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UTSTANDING_BS_DATE" hidden="1">"c1971"</definedName>
    <definedName name="IQ_CLASSA_OUTSTANDING_FILING_DATE" hidden="1">"c1973"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NV_DATE" hidden="1">"c2191"</definedName>
    <definedName name="IQ_CONV_PREMIUM" hidden="1">"c2195"</definedName>
    <definedName name="IQ_CONV_PRICE" hidden="1">"c2193"</definedName>
    <definedName name="IQ_CONV_RATE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XITY" hidden="1">"c2182"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RATIO" hidden="1">"c246"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OTHER_COST" hidden="1">"c284"</definedName>
    <definedName name="IQ_DEF_BENEFIT_ROA" hidden="1">"c285"</definedName>
    <definedName name="IQ_DEF_BENEFIT_SERVICE_COST" hidden="1">"c286"</definedName>
    <definedName name="IQ_DEF_BENEFIT_TOTAL_COST" hidden="1">"c287"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FF_LASTCLOSE_TARGET_PRICE" hidden="1">"c1854"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DURATION" hidden="1">"c2181"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INT" hidden="1">"c360"</definedName>
    <definedName name="IQ_EBIT_MARGIN" hidden="1">"c359"</definedName>
    <definedName name="IQ_EBIT_OVER_IE" hidden="1">"c1369"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MARGIN" hidden="1">"c1963"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CAPEX_INT" hidden="1">"c368"</definedName>
    <definedName name="IQ_EBITDA_CAPEX_OVER_TOTAL_IE" hidden="1">"c1370"</definedName>
    <definedName name="IQ_EBITDA_INT" hidden="1">"c373"</definedName>
    <definedName name="IQ_EBITDA_MARGIN" hidden="1">"c372"</definedName>
    <definedName name="IQ_EBITDA_OVER_TOTAL_IE" hidden="1">"c1371"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UTI" hidden="1">"c390"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ACT_OR_EST" hidden="1">"c2213"</definedName>
    <definedName name="IQ_EPS_EST" hidden="1">"c399"</definedName>
    <definedName name="IQ_EPS_HIGH_EST" hidden="1">"c400"</definedName>
    <definedName name="IQ_EPS_LOW_EST" hidden="1">"c401"</definedName>
    <definedName name="IQ_EPS_MEDIAN_EST" hidden="1">"c1661"</definedName>
    <definedName name="IQ_EPS_NORM" hidden="1">"c1902"</definedName>
    <definedName name="IQ_EPS_NUM_EST" hidden="1">"c402"</definedName>
    <definedName name="IQ_EPS_STDDEV_EST" hidden="1">"c403"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ST_ACT_EPS" hidden="1">"c1648"</definedName>
    <definedName name="IQ_EST_CURRENCY" hidden="1">"c2140"</definedName>
    <definedName name="IQ_EST_DATE" hidden="1">"c1634"</definedName>
    <definedName name="IQ_EST_EPS_DIFF" hidden="1">"c1864"</definedName>
    <definedName name="IQ_EST_EPS_GROWTH_1YR" hidden="1">"c1636"</definedName>
    <definedName name="IQ_EST_EPS_GROWTH_5YR" hidden="1">"c1655"</definedName>
    <definedName name="IQ_EST_EPS_GROWTH_Q_1YR" hidden="1">"c1641"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EDFUNDS_SOLD" hidden="1">"c2256"</definedName>
    <definedName name="IQ_FFO" hidden="1">"c1574"</definedName>
    <definedName name="IQ_FH" hidden="1">100000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DEBT_CURRENT" hidden="1">"c429"</definedName>
    <definedName name="IQ_FIN_DIV_DEBT_LT" hidden="1">"c430"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REV" hidden="1">"c437"</definedName>
    <definedName name="IQ_FINANCING_CASH" hidden="1">"c1405"</definedName>
    <definedName name="IQ_FINANCING_CASH_SUPPL" hidden="1">"c1406"</definedName>
    <definedName name="IQ_FINISHED_INV" hidden="1">"c438"</definedName>
    <definedName name="IQ_FIRST_INT_DATE" hidden="1">"c2186"</definedName>
    <definedName name="IQ_FIRST_YEAR_LIFE" hidden="1">"c439"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Y" hidden="1">1000</definedName>
    <definedName name="IQ_GA_EXP" hidden="1">"c2241"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DIVID" hidden="1">"c1446"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ROFIT" hidden="1">"c1378"</definedName>
    <definedName name="IQ_GROSS_SPRD" hidden="1">"c2155"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PRICE" hidden="1">"c545"</definedName>
    <definedName name="IQ_HOMEOWNERS_WRITTEN" hidden="1">"c546"</definedName>
    <definedName name="IQ_IMPAIR_OIL" hidden="1">"c547"</definedName>
    <definedName name="IQ_IMPAIRMENT_GW" hidden="1">"c548"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S_ANNUITY_LIAB" hidden="1">"c563"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PRD" hidden="1">"c644"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LAND" hidden="1">"c645"</definedName>
    <definedName name="IQ_LAST_PMT_DATE" hidden="1">"c2188"</definedName>
    <definedName name="IQ_LAST_SPLIT_DATE" hidden="1">"c2095"</definedName>
    <definedName name="IQ_LAST_SPLIT_FACTOR" hidden="1">"c2093"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ICENSED_POPS" hidden="1">"c2123"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LTMMONTH" hidden="1">120000</definedName>
    <definedName name="IQ_MACHINERY" hidden="1">"c711"</definedName>
    <definedName name="IQ_MAINT_REPAIR" hidden="1">"c2087"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M_ACCOUNT" hidden="1">"c743"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SERV_RIGHTS" hidden="1">"c2242"</definedName>
    <definedName name="IQ_NAMES_REVISION_DATE_" hidden="1">40374.7080092593</definedName>
    <definedName name="IQ_NET_CHANGE" hidden="1">"c749"</definedName>
    <definedName name="IQ_NET_DEBT" hidden="1">"c1584"</definedName>
    <definedName name="IQ_NET_DEBT_EBITDA" hidden="1">"c750"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MARGIN" hidden="1">"c794"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SFAS" hidden="1">"c795"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UTIL_REV" hidden="1">"c2089"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CLOSE_BALANCE_GAS" hidden="1">"c2049"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OIL" hidden="1">"c2035"</definedName>
    <definedName name="IQ_OG_PURCHASES_GAS" hidden="1">"c2045"</definedName>
    <definedName name="IQ_OG_PURCHASES_OIL" hidden="1">"c2033"</definedName>
    <definedName name="IQ_OG_REVISIONS_GAS" hidden="1">"c2042"</definedName>
    <definedName name="IQ_OG_REVISIONS_OIL" hidden="1">"c2030"</definedName>
    <definedName name="IQ_OG_SALES_IN_PLACE_GAS" hidden="1">"c2046"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UNDEVELOPED_RESERVES_GAS" hidden="1">"c2051"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ISSUED" hidden="1">"c857"</definedName>
    <definedName name="IQ_ORDER_BACKLOG" hidden="1">"c2090"</definedName>
    <definedName name="IQ_OTHER_ADJUST_GROSS_LOANS" hidden="1">"c859"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UTSTANDING_BS_DATE" hidden="1">"c2128"</definedName>
    <definedName name="IQ_OUTSTANDING_FILING_DATE" hidden="1">"c2127"</definedName>
    <definedName name="IQ_OWNERSHIP" hidden="1">"c2160"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NORMALIZED" hidden="1">"c2207"</definedName>
    <definedName name="IQ_PE_RATIO" hidden="1">"c1610"</definedName>
    <definedName name="IQ_PENSION" hidden="1">"c1031"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MT_FREQ" hidden="1">"c2236"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RE_OPEN_COST" hidden="1">"c1040"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ICE_OVER_BVPS" hidden="1">"c1412"</definedName>
    <definedName name="IQ_PRICE_OVER_LTM_EPS" hidden="1">"c1413"</definedName>
    <definedName name="IQ_PRICE_TARGET" hidden="1">"c82"</definedName>
    <definedName name="IQ_PRICEDATE" hidden="1">"c1069"</definedName>
    <definedName name="IQ_PRICING_DATE" hidden="1">"c1613"</definedName>
    <definedName name="IQ_PRIMARY_INDUSTRY" hidden="1">"c1070"</definedName>
    <definedName name="IQ_PRINCIPAL_AMT" hidden="1">"c2157"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VG_STORE_SIZE_GROSS" hidden="1">"c2066"</definedName>
    <definedName name="IQ_RETAIL_AVG_STORE_SIZE_NET" hidden="1">"c2067"</definedName>
    <definedName name="IQ_RETAIL_CLOSED_STORES" hidden="1">"c2063"</definedName>
    <definedName name="IQ_RETAIL_OPENED_STORES" hidden="1">"c2062"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Q_FOOTAGE" hidden="1">"c2064"</definedName>
    <definedName name="IQ_RETAIL_STORE_SELLING_AREA" hidden="1">"c2065"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UTI" hidden="1">"c1125"</definedName>
    <definedName name="IQ_REVENUE" hidden="1">"c1422"</definedName>
    <definedName name="IQ_REVISION_DATE_" hidden="1">38999.6400925926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VING_DEP" hidden="1">"c1150"</definedName>
    <definedName name="IQ_SECUR_RECEIV" hidden="1">"c1151"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CF" hidden="1">"c1203"</definedName>
    <definedName name="IQ_STRIKE_PRICE_ISSUED" hidden="1">"c1645"</definedName>
    <definedName name="IQ_STRIKE_PRICE_OS" hidden="1">"c1646"</definedName>
    <definedName name="IQ_STW" hidden="1">"c2166"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MPLOYEE_AVG" hidden="1">"c1225"</definedName>
    <definedName name="IQ_TEV_TOTAL_REV" hidden="1">"c1226"</definedName>
    <definedName name="IQ_TEV_TOTAL_REV_AVG" hidden="1">"c1227"</definedName>
    <definedName name="IQ_TEV_UFCF" hidden="1">"c2208"</definedName>
    <definedName name="IQ_TIER_ONE_RATIO" hidden="1">"c1229"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QUITY" hidden="1">"c1250"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EXP" hidden="1">"c1291"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S" hidden="1">"c2119"</definedName>
    <definedName name="IQ_TOTAL_UNUSUAL" hidden="1">"c1508"</definedName>
    <definedName name="IQ_TRADE_AR" hidden="1">"c1345"</definedName>
    <definedName name="IQ_TRADE_PRINCIPAL" hidden="1">"c1309"</definedName>
    <definedName name="IQ_TRADING_ASSETS" hidden="1">"c1310"</definedName>
    <definedName name="IQ_TRADING_CURRENCY" hidden="1">"c2212"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USUAL_EXP" hidden="1">"c1456"</definedName>
    <definedName name="IQ_US_GAAP" hidden="1">"c1331"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EEK" hidden="1">50000</definedName>
    <definedName name="IQ_WEIGHTED_AVG_PRICE" hidden="1">"c1334"</definedName>
    <definedName name="IQ_WIP_INV" hidden="1">"c1335"</definedName>
    <definedName name="IQ_WORKMEN_WRITTEN" hidden="1">"c1336"</definedName>
    <definedName name="IQ_XDIV_DATE" hidden="1">"c2203"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DMONTH" hidden="1">130000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jjj" localSheetId="0" hidden="1">{#N/A,#N/A,TRUE,"4Q BCG";#N/A,#N/A,TRUE,"4Q w|o Wireless";#N/A,#N/A,TRUE,"4Q Wireless"}</definedName>
    <definedName name="jjj">#REF!</definedName>
    <definedName name="jkj" localSheetId="0" hidden="1">{#N/A,#N/A,TRUE,"FY BCG";#N/A,#N/A,TRUE,"FY w|o Wireless";#N/A,#N/A,TRUE,"FY Wireless"}</definedName>
    <definedName name="jkj" hidden="1">{#N/A,#N/A,TRUE,"FY BCG";#N/A,#N/A,TRUE,"FY w|o Wireless";#N/A,#N/A,TRUE,"FY Wireless"}</definedName>
    <definedName name="jllk" localSheetId="0" hidden="1">{#N/A,#N/A,TRUE,"Monthly Wireless";#N/A,#N/A,TRUE,"Qrt Wireless";#N/A,#N/A,TRUE,"FY Wireless";#N/A,#N/A,TRUE,"1Q Wireless";#N/A,#N/A,TRUE,"2Q Wireless";#N/A,#N/A,TRUE,"3Q Wireless";#N/A,#N/A,TRUE,"4Q Wireless"}</definedName>
    <definedName name="jllk" hidden="1">{#N/A,#N/A,TRUE,"Monthly Wireless";#N/A,#N/A,TRUE,"Qrt Wireless";#N/A,#N/A,TRUE,"FY Wireless";#N/A,#N/A,TRUE,"1Q Wireless";#N/A,#N/A,TRUE,"2Q Wireless";#N/A,#N/A,TRUE,"3Q Wireless";#N/A,#N/A,TRUE,"4Q Wireless"}</definedName>
    <definedName name="kim" localSheetId="0" hidden="1">{"'SGI_Opex'!$A$1:$O$187"}</definedName>
    <definedName name="kim" hidden="1">{"'SGI_Opex'!$A$1:$O$187"}</definedName>
    <definedName name="kkk">#REF!</definedName>
    <definedName name="kl" localSheetId="0" hidden="1">{"'Sheet1'!$A$4:$M$36"}</definedName>
    <definedName name="kl" hidden="1">{"'Sheet1'!$A$4:$M$36"}</definedName>
    <definedName name="LatinAm_New" localSheetId="0" hidden="1">{"'SGI_Opex'!$A$1:$O$187"}</definedName>
    <definedName name="LatinAm_New" hidden="1">{"'SGI_Opex'!$A$1:$O$187"}</definedName>
    <definedName name="ListOffset" hidden="1">1</definedName>
    <definedName name="Pal_Workbook_GUID" hidden="1">"8U6URBCWZ7EUYLBV9WPSDND3"</definedName>
    <definedName name="pedsicu" localSheetId="0" hidden="1">{TRUE,TRUE,-1.25,-15.5,484.5,276.75,FALSE,TRUE,TRUE,TRUE,0,4,#N/A,75,#N/A,11.6964285714286,15.4230769230769,1,FALSE,FALSE,3,TRUE,1,FALSE,100,"Swvu.PACU1.","ACwvu.PACU1.",#N/A,FALSE,FALSE,0.75,0.75,1.75,1,1,"&amp;C&amp;12ST. VINCENT HOSPITAL
PACU STATISTICS
JULY, 1995 - JUNE 1996&amp;10
","&amp;L&amp;D
&amp;F
PACU2
",FALSE,FALSE,FALSE,TRUE,1,100,#N/A,#N/A,"=R1C1:R80C9",FALSE,"Rwvu.PACU1.",#N/A,FALSE,FALSE,FALSE,1,180,180,FALSE,FALSE,TRUE,TRUE,TRUE}</definedName>
    <definedName name="pedsicu" hidden="1">{TRUE,TRUE,-1.25,-15.5,484.5,276.75,FALSE,TRUE,TRUE,TRUE,0,4,#N/A,75,#N/A,11.6964285714286,15.4230769230769,1,FALSE,FALSE,3,TRUE,1,FALSE,100,"Swvu.PACU1.","ACwvu.PACU1.",#N/A,FALSE,FALSE,0.75,0.75,1.75,1,1,"&amp;C&amp;12ST. VINCENT HOSPITAL
PACU STATISTICS
JULY, 1995 - JUNE 1996&amp;10
","&amp;L&amp;D
&amp;F
PACU2
",FALSE,FALSE,FALSE,TRUE,1,100,#N/A,#N/A,"=R1C1:R80C9",FALSE,"Rwvu.PACU1.",#N/A,FALSE,FALSE,FALSE,1,180,180,FALSE,FALSE,TRUE,TRUE,TRUE}</definedName>
    <definedName name="po" localSheetId="0" hidden="1">{#N/A,#N/A,TRUE,"Monthly Wireless";#N/A,#N/A,TRUE,"Qrt Wireless";#N/A,#N/A,TRUE,"FY Wireless";#N/A,#N/A,TRUE,"1Q Wireless";#N/A,#N/A,TRUE,"2Q Wireless";#N/A,#N/A,TRUE,"3Q Wireless";#N/A,#N/A,TRUE,"4Q Wireless"}</definedName>
    <definedName name="po" hidden="1">{#N/A,#N/A,TRUE,"Monthly Wireless";#N/A,#N/A,TRUE,"Qrt Wireless";#N/A,#N/A,TRUE,"FY Wireless";#N/A,#N/A,TRUE,"1Q Wireless";#N/A,#N/A,TRUE,"2Q Wireless";#N/A,#N/A,TRUE,"3Q Wireless";#N/A,#N/A,TRUE,"4Q Wireless"}</definedName>
    <definedName name="puui" localSheetId="0" hidden="1">{#N/A,#N/A,TRUE,"Qrt BCG";#N/A,#N/A,TRUE,"Qrt w|o Wireless";#N/A,#N/A,TRUE,"Qrt Wireless"}</definedName>
    <definedName name="puui" hidden="1">{#N/A,#N/A,TRUE,"Qrt BCG";#N/A,#N/A,TRUE,"Qrt w|o Wireless";#N/A,#N/A,TRUE,"Qrt Wireless"}</definedName>
    <definedName name="QryService_Line_Review_as_of_6_24_15" localSheetId="0">#REF!</definedName>
    <definedName name="QryService_Line_Review_as_of_6_24_15">#REF!</definedName>
    <definedName name="Qtr_2013_Market_Share_Report" localSheetId="0">#REF!</definedName>
    <definedName name="Qtr_2013_Market_Share_Report">#REF!</definedName>
    <definedName name="Qtr_FY08_Service_Line_Review_as_of_6_24_15" localSheetId="0">#REF!</definedName>
    <definedName name="Qtr_FY08_Service_Line_Review_as_of_6_24_15">#REF!</definedName>
    <definedName name="Qtr_FY09_Service_Line_Review_as_of_6_24_15" localSheetId="0">#REF!</definedName>
    <definedName name="Qtr_FY09_Service_Line_Review_as_of_6_24_15">#REF!</definedName>
    <definedName name="Qtr_Service_Line_Market_6_25_15" localSheetId="0">#REF!</definedName>
    <definedName name="Qtr_Service_Line_Market_6_25_15">#REF!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6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  <definedName name="sdfg" localSheetId="0" hidden="1">{#N/A,#N/A,FALSE,"Nov 96";#N/A,#N/A,FALSE,"Dec 96";#N/A,#N/A,FALSE,"Jan 97";#N/A,#N/A,FALSE,"Feb 97";#N/A,#N/A,FALSE,"Mar 97";#N/A,#N/A,FALSE,"Apr 97";#N/A,#N/A,FALSE,"May 97";#N/A,#N/A,FALSE,"Jun 97";#N/A,#N/A,FALSE,"Jul 97";#N/A,#N/A,FALSE,"Aug 97";#N/A,#N/A,FALSE,"Sep 97";#N/A,#N/A,FALSE,"Oct 97"}</definedName>
    <definedName name="sdfg" hidden="1">{#N/A,#N/A,FALSE,"Nov 96";#N/A,#N/A,FALSE,"Dec 96";#N/A,#N/A,FALSE,"Jan 97";#N/A,#N/A,FALSE,"Feb 97";#N/A,#N/A,FALSE,"Mar 97";#N/A,#N/A,FALSE,"Apr 97";#N/A,#N/A,FALSE,"May 97";#N/A,#N/A,FALSE,"Jun 97";#N/A,#N/A,FALSE,"Jul 97";#N/A,#N/A,FALSE,"Aug 97";#N/A,#N/A,FALSE,"Sep 97";#N/A,#N/A,FALSE,"Oct 97"}</definedName>
    <definedName name="SNA_New" localSheetId="0" hidden="1">{"'SGI_Opex'!$A$1:$O$187"}</definedName>
    <definedName name="SNA_New" hidden="1">{"'SGI_Opex'!$A$1:$O$187"}</definedName>
    <definedName name="TEST" localSheetId="0" hidden="1">{TRUE,TRUE,-1.25,-15.5,484.5,276.75,FALSE,TRUE,TRUE,TRUE,0,4,#N/A,75,#N/A,11.6964285714286,15.4230769230769,1,FALSE,FALSE,3,TRUE,1,FALSE,100,"Swvu.PACU1.","ACwvu.PACU1.",#N/A,FALSE,FALSE,0.75,0.75,1.75,1,1,"&amp;C&amp;12ST. VINCENT HOSPITAL
PACU STATISTICS
JULY, 1995 - JUNE 1996&amp;10
","&amp;L&amp;D
&amp;F
PACU2
",FALSE,FALSE,FALSE,TRUE,1,100,#N/A,#N/A,"=R1C1:R80C9",FALSE,"Rwvu.PACU1.",#N/A,FALSE,FALSE,FALSE,1,180,180,FALSE,FALSE,TRUE,TRUE,TRUE}</definedName>
    <definedName name="TEST" hidden="1">{TRUE,TRUE,-1.25,-15.5,484.5,276.75,FALSE,TRUE,TRUE,TRUE,0,4,#N/A,75,#N/A,11.6964285714286,15.4230769230769,1,FALSE,FALSE,3,TRUE,1,FALSE,100,"Swvu.PACU1.","ACwvu.PACU1.",#N/A,FALSE,FALSE,0.75,0.75,1.75,1,1,"&amp;C&amp;12ST. VINCENT HOSPITAL
PACU STATISTICS
JULY, 1995 - JUNE 1996&amp;10
","&amp;L&amp;D
&amp;F
PACU2
",FALSE,FALSE,FALSE,TRUE,1,100,#N/A,#N/A,"=R1C1:R80C9",FALSE,"Rwvu.PACU1.",#N/A,FALSE,FALSE,FALSE,1,180,180,FALSE,FALSE,TRUE,TRUE,TRUE}</definedName>
    <definedName name="test2" localSheetId="0" hidden="1">{TRUE,TRUE,-1.25,-15.5,484.5,276.75,FALSE,TRUE,TRUE,TRUE,0,4,#N/A,75,#N/A,11.6964285714286,15.4230769230769,1,FALSE,FALSE,3,TRUE,1,FALSE,100,"Swvu.PACU1.","ACwvu.PACU1.",#N/A,FALSE,FALSE,0.75,0.75,1.75,1,1,"&amp;C&amp;12ST. VINCENT HOSPITAL
PACU STATISTICS
JULY, 1995 - JUNE 1996&amp;10
","&amp;L&amp;D
&amp;F
PACU2
",FALSE,FALSE,FALSE,TRUE,1,100,#N/A,#N/A,"=R1C1:R80C9",FALSE,"Rwvu.PACU1.",#N/A,FALSE,FALSE,FALSE,1,180,180,FALSE,FALSE,TRUE,TRUE,TRUE}</definedName>
    <definedName name="test2" hidden="1">{TRUE,TRUE,-1.25,-15.5,484.5,276.75,FALSE,TRUE,TRUE,TRUE,0,4,#N/A,75,#N/A,11.6964285714286,15.4230769230769,1,FALSE,FALSE,3,TRUE,1,FALSE,100,"Swvu.PACU1.","ACwvu.PACU1.",#N/A,FALSE,FALSE,0.75,0.75,1.75,1,1,"&amp;C&amp;12ST. VINCENT HOSPITAL
PACU STATISTICS
JULY, 1995 - JUNE 1996&amp;10
","&amp;L&amp;D
&amp;F
PACU2
",FALSE,FALSE,FALSE,TRUE,1,100,#N/A,#N/A,"=R1C1:R80C9",FALSE,"Rwvu.PACU1.",#N/A,FALSE,FALSE,FALSE,1,180,180,FALSE,FALSE,TRUE,TRUE,TRUE}</definedName>
    <definedName name="TextRefCopyRangeCount" hidden="1">1</definedName>
    <definedName name="tMarketData">#REF!</definedName>
    <definedName name="tryu" localSheetId="0" hidden="1">{#N/A,#N/A,TRUE,"Monthly w|o Wireless";#N/A,#N/A,TRUE,"Qrt w|o Wireless";#N/A,#N/A,TRUE,"FY w|o Wireless";#N/A,#N/A,TRUE,"1Q w|o Wireless";#N/A,#N/A,TRUE,"2Q w|o Wireless";#N/A,#N/A,TRUE,"3Q w|o Wireless";#N/A,#N/A,TRUE,"4Q w|o Wireless"}</definedName>
    <definedName name="tryu" hidden="1">{#N/A,#N/A,TRUE,"Monthly w|o Wireless";#N/A,#N/A,TRUE,"Qrt w|o Wireless";#N/A,#N/A,TRUE,"FY w|o Wireless";#N/A,#N/A,TRUE,"1Q w|o Wireless";#N/A,#N/A,TRUE,"2Q w|o Wireless";#N/A,#N/A,TRUE,"3Q w|o Wireless";#N/A,#N/A,TRUE,"4Q w|o Wireless"}</definedName>
    <definedName name="tTJ_Table_Age">#REF!</definedName>
    <definedName name="wert" localSheetId="0" hidden="1">{#N/A,#N/A,TRUE,"1Q BCG";#N/A,#N/A,TRUE,"1Q w|o Wireless";#N/A,#N/A,TRUE,"1Q Wireless"}</definedName>
    <definedName name="wert" hidden="1">{#N/A,#N/A,TRUE,"1Q BCG";#N/A,#N/A,TRUE,"1Q w|o Wireless";#N/A,#N/A,TRUE,"1Q Wireless"}</definedName>
    <definedName name="WMO_RD_New" localSheetId="0" hidden="1">{"'SGI_Opex'!$A$1:$O$187"}</definedName>
    <definedName name="WMO_RD_New" hidden="1">{"'SGI_Opex'!$A$1:$O$187"}</definedName>
    <definedName name="wrn.1st._.Quarter." localSheetId="0" hidden="1">{#N/A,#N/A,TRUE,"1Q BCG";#N/A,#N/A,TRUE,"1Q w|o Wireless";#N/A,#N/A,TRUE,"1Q Wireless"}</definedName>
    <definedName name="wrn.1st._.Quarter." hidden="1">{#N/A,#N/A,TRUE,"1Q BCG";#N/A,#N/A,TRUE,"1Q w|o Wireless";#N/A,#N/A,TRUE,"1Q Wireless"}</definedName>
    <definedName name="wrn.2nd._.Quarter." localSheetId="0" hidden="1">{#N/A,#N/A,TRUE,"2Q BCG";#N/A,#N/A,TRUE,"2Q w|o Wireless";#N/A,#N/A,TRUE,"2Q Wireless"}</definedName>
    <definedName name="wrn.2nd._.Quarter." hidden="1">{#N/A,#N/A,TRUE,"2Q BCG";#N/A,#N/A,TRUE,"2Q w|o Wireless";#N/A,#N/A,TRUE,"2Q Wireless"}</definedName>
    <definedName name="wrn.3rd._.Quarter." localSheetId="0" hidden="1">{#N/A,#N/A,TRUE,"3Q BCG";#N/A,#N/A,TRUE,"3Q w|o Wireless";#N/A,#N/A,TRUE,"3Q Wireless"}</definedName>
    <definedName name="wrn.3rd._.Quarter." hidden="1">{#N/A,#N/A,TRUE,"3Q BCG";#N/A,#N/A,TRUE,"3Q w|o Wireless";#N/A,#N/A,TRUE,"3Q Wireless"}</definedName>
    <definedName name="wrn.4th._.Quarter." localSheetId="0" hidden="1">{#N/A,#N/A,TRUE,"4Q BCG";#N/A,#N/A,TRUE,"4Q w|o Wireless";#N/A,#N/A,TRUE,"4Q Wireless"}</definedName>
    <definedName name="wrn.4th._.Quarter." hidden="1">{#N/A,#N/A,TRUE,"4Q BCG";#N/A,#N/A,TRUE,"4Q w|o Wireless";#N/A,#N/A,TRUE,"4Q Wireless"}</definedName>
    <definedName name="wrn.Aging._.and._.Trend._.Analysis." localSheetId="0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rn.ALL." localSheetId="0" hidden="1">{#N/A,#N/A,FALSE,"Qrt Fcst";#N/A,#N/A,FALSE,"Qrt Fcst vs Plan &amp; PY";#N/A,#N/A,FALSE,"FY Fcst vs Plan &amp; PY";#N/A,#N/A,FALSE,"EVA CAP";#N/A,#N/A,FALSE,"EVA NOPAT"}</definedName>
    <definedName name="wrn.ALL." hidden="1">{#N/A,#N/A,FALSE,"Qrt Fcst";#N/A,#N/A,FALSE,"Qrt Fcst vs Plan &amp; PY";#N/A,#N/A,FALSE,"FY Fcst vs Plan &amp; PY";#N/A,#N/A,FALSE,"EVA CAP";#N/A,#N/A,FALSE,"EVA NOPAT"}</definedName>
    <definedName name="wrn.ALL._....original." localSheetId="0" hidden="1">{#N/A,#N/A,FALSE,"Qrt Fcst";#N/A,#N/A,FALSE,"Qrt Fcst vs Plan &amp; PY";#N/A,#N/A,FALSE,"FY Fcst vs Plan &amp; PY";#N/A,#N/A,FALSE,"EVA CAP";#N/A,#N/A,FALSE,"EVA NOPAT"}</definedName>
    <definedName name="wrn.ALL._....original." hidden="1">{#N/A,#N/A,FALSE,"Qrt Fcst";#N/A,#N/A,FALSE,"Qrt Fcst vs Plan &amp; PY";#N/A,#N/A,FALSE,"FY Fcst vs Plan &amp; PY";#N/A,#N/A,FALSE,"EVA CAP";#N/A,#N/A,FALSE,"EVA NOPAT"}</definedName>
    <definedName name="wrn.BCG._.All._.Periods." localSheetId="0" hidden="1">{#N/A,#N/A,TRUE,"Monthly BCG";#N/A,#N/A,TRUE,"Qrt BCG";#N/A,#N/A,TRUE,"FY BCG";#N/A,#N/A,TRUE,"1Q BCG";#N/A,#N/A,TRUE,"2Q BCG";#N/A,#N/A,TRUE,"3Q BCG";#N/A,#N/A,TRUE,"4Q BCG"}</definedName>
    <definedName name="wrn.BCG._.All._.Periods." hidden="1">{#N/A,#N/A,TRUE,"Monthly BCG";#N/A,#N/A,TRUE,"Qrt BCG";#N/A,#N/A,TRUE,"FY BCG";#N/A,#N/A,TRUE,"1Q BCG";#N/A,#N/A,TRUE,"2Q BCG";#N/A,#N/A,TRUE,"3Q BCG";#N/A,#N/A,TRUE,"4Q BCG"}</definedName>
    <definedName name="wrn.ccroll." localSheetId="0" hidden="1">{"Admin.",#N/A,FALSE,"ccs";"Alloc.",#N/A,FALSE,"ccs";"BS Inactive",#N/A,FALSE,"ccs";"CU Eng.",#N/A,FALSE,"ccs";"CU Mfg.",#N/A,FALSE,"ccs";"CU Mfg.",#N/A,FALSE,"ccs";"CU Mktg.",#N/A,FALSE,"ccs";"CU PM",#N/A,FALSE,"ccs";"Eng.",#N/A,FALSE,"ccs";"FBR Admin",#N/A,FALSE,"ccs";"FBR China",#N/A,FALSE,"ccs";"FBR Eng.",#N/A,FALSE,"ccs";"FBR Mktg.",#N/A,FALSE,"ccs";"FBR PM",#N/A,FALSE,"ccs";"FRBMfg",#N/A,FALSE,"ccs";"Mfg.",#N/A,FALSE,"ccs";"Mktg.",#N/A,FALSE,"ccs";"Non Op.",#N/A,FALSE,"ccs";"Sales",#N/A,FALSE,"ccs";"WLS Admin.",#N/A,FALSE,"ccs";"WLS Eng.",#N/A,FALSE,"ccs";"WLS Mfg.",#N/A,FALSE,"ccs";"WLS Mktg.",#N/A,FALSE,"ccs";"WLS PM",#N/A,FALSE,"ccs"}</definedName>
    <definedName name="wrn.ccroll." hidden="1">{"Admin.",#N/A,FALSE,"ccs";"Alloc.",#N/A,FALSE,"ccs";"BS Inactive",#N/A,FALSE,"ccs";"CU Eng.",#N/A,FALSE,"ccs";"CU Mfg.",#N/A,FALSE,"ccs";"CU Mfg.",#N/A,FALSE,"ccs";"CU Mktg.",#N/A,FALSE,"ccs";"CU PM",#N/A,FALSE,"ccs";"Eng.",#N/A,FALSE,"ccs";"FBR Admin",#N/A,FALSE,"ccs";"FBR China",#N/A,FALSE,"ccs";"FBR Eng.",#N/A,FALSE,"ccs";"FBR Mktg.",#N/A,FALSE,"ccs";"FBR PM",#N/A,FALSE,"ccs";"FRBMfg",#N/A,FALSE,"ccs";"Mfg.",#N/A,FALSE,"ccs";"Mktg.",#N/A,FALSE,"ccs";"Non Op.",#N/A,FALSE,"ccs";"Sales",#N/A,FALSE,"ccs";"WLS Admin.",#N/A,FALSE,"ccs";"WLS Eng.",#N/A,FALSE,"ccs";"WLS Mfg.",#N/A,FALSE,"ccs";"WLS Mktg.",#N/A,FALSE,"ccs";"WLS PM",#N/A,FALSE,"ccs"}</definedName>
    <definedName name="wrn.Finance." localSheetId="0" hidden="1">{#N/A,#N/A,FALSE,"Ratios";#N/A,#N/A,FALSE,"Days in AR";#N/A,#N/A,FALSE,"Balance Sheet";#N/A,#N/A,FALSE,"Statement of Operations";#N/A,#N/A,FALSE,"Change in Net Assets";#N/A,#N/A,FALSE,"Cash Flow";#N/A,#N/A,FALSE,"EHS Balance Sheet";#N/A,#N/A,FALSE,"EHS Statement of Operations"}</definedName>
    <definedName name="wrn.Finance." hidden="1">{#N/A,#N/A,FALSE,"Ratios";#N/A,#N/A,FALSE,"Days in AR";#N/A,#N/A,FALSE,"Balance Sheet";#N/A,#N/A,FALSE,"Statement of Operations";#N/A,#N/A,FALSE,"Change in Net Assets";#N/A,#N/A,FALSE,"Cash Flow";#N/A,#N/A,FALSE,"EHS Balance Sheet";#N/A,#N/A,FALSE,"EHS Statement of Operations"}</definedName>
    <definedName name="wrn.Fiscal._.Year." localSheetId="0" hidden="1">{#N/A,#N/A,TRUE,"FY BCG";#N/A,#N/A,TRUE,"FY w|o Wireless";#N/A,#N/A,TRUE,"FY Wireless"}</definedName>
    <definedName name="wrn.Fiscal._.Year." hidden="1">{#N/A,#N/A,TRUE,"FY BCG";#N/A,#N/A,TRUE,"FY w|o Wireless";#N/A,#N/A,TRUE,"FY Wireless"}</definedName>
    <definedName name="wrn.Monthlys." localSheetId="0" hidden="1">{#N/A,#N/A,TRUE,"Monthly BCG";#N/A,#N/A,TRUE,"Monthly w|o Wireless";#N/A,#N/A,TRUE,"Monthly Wireless"}</definedName>
    <definedName name="wrn.Monthlys." hidden="1">{#N/A,#N/A,TRUE,"Monthly BCG";#N/A,#N/A,TRUE,"Monthly w|o Wireless";#N/A,#N/A,TRUE,"Monthly Wireless"}</definedName>
    <definedName name="wrn.Plan._.EVA." localSheetId="0" hidden="1">{#N/A,#N/A,FALSE,"Nov 96";#N/A,#N/A,FALSE,"Dec 96";#N/A,#N/A,FALSE,"Jan 97";#N/A,#N/A,FALSE,"Feb 97";#N/A,#N/A,FALSE,"Mar 97";#N/A,#N/A,FALSE,"Apr 97";#N/A,#N/A,FALSE,"May 97";#N/A,#N/A,FALSE,"Jun 97";#N/A,#N/A,FALSE,"Jul 97";#N/A,#N/A,FALSE,"Aug 97";#N/A,#N/A,FALSE,"Sep 97";#N/A,#N/A,FALSE,"Oct 97"}</definedName>
    <definedName name="wrn.Plan._.EVA." hidden="1">{#N/A,#N/A,FALSE,"Nov 96";#N/A,#N/A,FALSE,"Dec 96";#N/A,#N/A,FALSE,"Jan 97";#N/A,#N/A,FALSE,"Feb 97";#N/A,#N/A,FALSE,"Mar 97";#N/A,#N/A,FALSE,"Apr 97";#N/A,#N/A,FALSE,"May 97";#N/A,#N/A,FALSE,"Jun 97";#N/A,#N/A,FALSE,"Jul 97";#N/A,#N/A,FALSE,"Aug 97";#N/A,#N/A,FALSE,"Sep 97";#N/A,#N/A,FALSE,"Oct 97"}</definedName>
    <definedName name="wrn.Quarterlys." localSheetId="0" hidden="1">{#N/A,#N/A,TRUE,"Qrt BCG";#N/A,#N/A,TRUE,"Qrt w|o Wireless";#N/A,#N/A,TRUE,"Qrt Wireless"}</definedName>
    <definedName name="wrn.Quarterlys." hidden="1">{#N/A,#N/A,TRUE,"Qrt BCG";#N/A,#N/A,TRUE,"Qrt w|o Wireless";#N/A,#N/A,TRUE,"Qrt Wireless"}</definedName>
    <definedName name="wrn.Therasense." localSheetId="0" hidden="1">{#N/A,#N/A,FALSE,"Portfolio Summary";#N/A,#N/A,FALSE,"Performance ";#N/A,#N/A,FALSE,"Earnings";#N/A,#N/A,FALSE,"Earnings by Maturity";#N/A,#N/A,FALSE,"Credit Analysis";#N/A,#N/A,FALSE,"Reconciliation "}</definedName>
    <definedName name="wrn.Therasense." hidden="1">{#N/A,#N/A,FALSE,"Portfolio Summary";#N/A,#N/A,FALSE,"Performance ";#N/A,#N/A,FALSE,"Earnings";#N/A,#N/A,FALSE,"Earnings by Maturity";#N/A,#N/A,FALSE,"Credit Analysis";#N/A,#N/A,FALSE,"Reconciliation "}</definedName>
    <definedName name="wrn.Wireless." localSheetId="0" hidden="1">{#N/A,#N/A,TRUE,"Monthly Wireless";#N/A,#N/A,TRUE,"Qrt Wireless";#N/A,#N/A,TRUE,"FY Wireless";#N/A,#N/A,TRUE,"1Q Wireless";#N/A,#N/A,TRUE,"2Q Wireless";#N/A,#N/A,TRUE,"3Q Wireless";#N/A,#N/A,TRUE,"4Q Wireless"}</definedName>
    <definedName name="wrn.Wireless." hidden="1">{#N/A,#N/A,TRUE,"Monthly Wireless";#N/A,#N/A,TRUE,"Qrt Wireless";#N/A,#N/A,TRUE,"FY Wireless";#N/A,#N/A,TRUE,"1Q Wireless";#N/A,#N/A,TRUE,"2Q Wireless";#N/A,#N/A,TRUE,"3Q Wireless";#N/A,#N/A,TRUE,"4Q Wireless"}</definedName>
    <definedName name="wrn.without._.Wireless._.All._.Periods." localSheetId="0" hidden="1">{#N/A,#N/A,TRUE,"Monthly w|o Wireless";#N/A,#N/A,TRUE,"Qrt w|o Wireless";#N/A,#N/A,TRUE,"FY w|o Wireless";#N/A,#N/A,TRUE,"1Q w|o Wireless";#N/A,#N/A,TRUE,"2Q w|o Wireless";#N/A,#N/A,TRUE,"3Q w|o Wireless";#N/A,#N/A,TRUE,"4Q w|o Wireless"}</definedName>
    <definedName name="wrn.without._.Wireless._.All._.Periods." hidden="1">{#N/A,#N/A,TRUE,"Monthly w|o Wireless";#N/A,#N/A,TRUE,"Qrt w|o Wireless";#N/A,#N/A,TRUE,"FY w|o Wireless";#N/A,#N/A,TRUE,"1Q w|o Wireless";#N/A,#N/A,TRUE,"2Q w|o Wireless";#N/A,#N/A,TRUE,"3Q w|o Wireless";#N/A,#N/A,TRUE,"4Q w|o Wireless"}</definedName>
    <definedName name="wvu.All." localSheetId="0" hidden="1">{TRUE,TRUE,-1.25,-15.5,964.5,699.75,FALSE,TRUE,TRUE,TRUE,0,1,2,168,#N/A,1,51,2,TRUE,FALSE,3,TRUE,1,TRUE,100,"Swvu.All.","ACwvu.All.",#N/A,FALSE,FALSE,0.75,0.75,0.75,0.75,2,"","&amp;LBy Steve Abel&amp;C&amp;F  &amp;A&amp;R&amp;D  &amp;T",TRUE,FALSE,FALSE,FALSE,1,61,#N/A,#N/A,"=R1C1:R206C15","=R1:R5",#N/A,#N/A,FALSE,FALSE,TRUE,1,300,300,FALSE,FALSE,TRUE,TRUE,TRUE}</definedName>
    <definedName name="wvu.All." hidden="1">{TRUE,TRUE,-1.25,-15.5,964.5,699.75,FALSE,TRUE,TRUE,TRUE,0,1,2,168,#N/A,1,51,2,TRUE,FALSE,3,TRUE,1,TRUE,100,"Swvu.All.","ACwvu.All.",#N/A,FALSE,FALSE,0.75,0.75,0.75,0.75,2,"","&amp;LBy Steve Abel&amp;C&amp;F  &amp;A&amp;R&amp;D  &amp;T",TRUE,FALSE,FALSE,FALSE,1,61,#N/A,#N/A,"=R1C1:R206C15","=R1:R5",#N/A,#N/A,FALSE,FALSE,TRUE,1,300,300,FALSE,FALSE,TRUE,TRUE,TRUE}</definedName>
    <definedName name="wvu.IMSD._.Only." localSheetId="0" hidden="1">{TRUE,TRUE,-1.25,-15.5,964.5,699.75,FALSE,TRUE,TRUE,TRUE,0,1,2,19,#N/A,1,133,2,TRUE,FALSE,3,TRUE,1,TRUE,100,"Swvu.IMSD._.Only.","ACwvu.IMSD._.Only.",#N/A,FALSE,FALSE,0.75,0.75,0.75,0.75,2,"","&amp;LBy Steve Abel&amp;C&amp;F  &amp;A&amp;R&amp;D  &amp;T",TRUE,FALSE,FALSE,FALSE,1,61,#N/A,#N/A,"=R1C1:R206C15","=R1:R5",#N/A,"Cwvu.IMSD._.Only.",FALSE,FALSE,TRUE,1,300,300,FALSE,FALSE,TRUE,TRUE,TRUE}</definedName>
    <definedName name="wvu.IMSD._.Only." hidden="1">{TRUE,TRUE,-1.25,-15.5,964.5,699.75,FALSE,TRUE,TRUE,TRUE,0,1,2,19,#N/A,1,133,2,TRUE,FALSE,3,TRUE,1,TRUE,100,"Swvu.IMSD._.Only.","ACwvu.IMSD._.Only.",#N/A,FALSE,FALSE,0.75,0.75,0.75,0.75,2,"","&amp;LBy Steve Abel&amp;C&amp;F  &amp;A&amp;R&amp;D  &amp;T",TRUE,FALSE,FALSE,FALSE,1,61,#N/A,#N/A,"=R1C1:R206C15","=R1:R5",#N/A,"Cwvu.IMSD._.Only.",FALSE,FALSE,TRUE,1,300,300,FALSE,FALSE,TRUE,TRUE,TRUE}</definedName>
    <definedName name="X" localSheetId="0" hidden="1">{TRUE,TRUE,-1.25,-15.5,484.5,276.75,FALSE,TRUE,TRUE,TRUE,0,4,#N/A,75,#N/A,11.6964285714286,15.4230769230769,1,FALSE,FALSE,3,TRUE,1,FALSE,100,"Swvu.PACU1.","ACwvu.PACU1.",#N/A,FALSE,FALSE,0.75,0.75,1.75,1,1,"&amp;C&amp;12ST. VINCENT HOSPITAL
PACU STATISTICS
JULY, 1995 - JUNE 1996&amp;10
","&amp;L&amp;D
&amp;F
PACU2
",FALSE,FALSE,FALSE,TRUE,1,100,#N/A,#N/A,"=R1C1:R80C9",FALSE,"Rwvu.PACU1.",#N/A,FALSE,FALSE,FALSE,1,180,180,FALSE,FALSE,TRUE,TRUE,TRUE}</definedName>
    <definedName name="X" hidden="1">{TRUE,TRUE,-1.25,-15.5,484.5,276.75,FALSE,TRUE,TRUE,TRUE,0,4,#N/A,75,#N/A,11.6964285714286,15.4230769230769,1,FALSE,FALSE,3,TRUE,1,FALSE,100,"Swvu.PACU1.","ACwvu.PACU1.",#N/A,FALSE,FALSE,0.75,0.75,1.75,1,1,"&amp;C&amp;12ST. VINCENT HOSPITAL
PACU STATISTICS
JULY, 1995 - JUNE 1996&amp;10
","&amp;L&amp;D
&amp;F
PACU2
",FALSE,FALSE,FALSE,TRUE,1,100,#N/A,#N/A,"=R1C1:R80C9",FALSE,"Rwvu.PACU1.",#N/A,FALSE,FALSE,FALSE,1,180,180,FALSE,FALSE,TRUE,TRUE,TRUE}</definedName>
    <definedName name="XREF_COLUMN_1" localSheetId="0" hidden="1">#REF!</definedName>
    <definedName name="XREF_COLUMN_1" hidden="1">#REF!</definedName>
    <definedName name="XREF_COLUMN_2" localSheetId="0" hidden="1">#REF!</definedName>
    <definedName name="XREF_COLUMN_2" hidden="1">#REF!</definedName>
    <definedName name="XREF_COLUMN_3" localSheetId="0" hidden="1">#REF!</definedName>
    <definedName name="XREF_COLUMN_3" hidden="1">#REF!</definedName>
    <definedName name="XREF_COLUMN_4" hidden="1">#REF!</definedName>
    <definedName name="XREF_COLUMN_5" hidden="1">#REF!</definedName>
    <definedName name="XREF_COLUMN_6" hidden="1">#REF!</definedName>
    <definedName name="XREF_COLUMN_7" hidden="1">#REF!</definedName>
    <definedName name="XREF_COLUMN_8" hidden="1">#REF!</definedName>
    <definedName name="XRefColumnsCount" hidden="1">5</definedName>
    <definedName name="XRefCopy1" localSheetId="0" hidden="1">#REF!</definedName>
    <definedName name="XRefCopy1" hidden="1">#REF!</definedName>
    <definedName name="XRefCopy10" localSheetId="0" hidden="1">#REF!</definedName>
    <definedName name="XRefCopy10" hidden="1">#REF!</definedName>
    <definedName name="XRefCopy10Row" localSheetId="0" hidden="1">#REF!</definedName>
    <definedName name="XRefCopy10Row" hidden="1">#REF!</definedName>
    <definedName name="XRefCopy11" hidden="1">#REF!</definedName>
    <definedName name="XRefCopy11Row" hidden="1">#REF!</definedName>
    <definedName name="XRefCopy12" hidden="1">#REF!</definedName>
    <definedName name="XRefCopy12Row" hidden="1">#REF!</definedName>
    <definedName name="XRefCopy13" hidden="1">#REF!</definedName>
    <definedName name="XRefCopy13Row" hidden="1">#REF!</definedName>
    <definedName name="XRefCopy14" hidden="1">#REF!</definedName>
    <definedName name="XRefCopy15Row" localSheetId="0" hidden="1">#REF!</definedName>
    <definedName name="XRefCopy15Row" hidden="1">#REF!</definedName>
    <definedName name="XRefCopy17" localSheetId="0" hidden="1">#REF!</definedName>
    <definedName name="XRefCopy17" hidden="1">#REF!</definedName>
    <definedName name="XRefCopy18" localSheetId="0" hidden="1">#REF!</definedName>
    <definedName name="XRefCopy18" hidden="1">#REF!</definedName>
    <definedName name="XRefCopy18Row" localSheetId="0" hidden="1">#REF!</definedName>
    <definedName name="XRefCopy18Row" hidden="1">#REF!</definedName>
    <definedName name="XRefCopy19" localSheetId="0" hidden="1">#REF!</definedName>
    <definedName name="XRefCopy19" hidden="1">#REF!</definedName>
    <definedName name="XRefCopy2" localSheetId="0" hidden="1">#REF!</definedName>
    <definedName name="XRefCopy2" hidden="1">#REF!</definedName>
    <definedName name="XRefCopy20" localSheetId="0" hidden="1">#REF!</definedName>
    <definedName name="XRefCopy20" hidden="1">#REF!</definedName>
    <definedName name="XRefCopy20Row" localSheetId="0" hidden="1">#REF!</definedName>
    <definedName name="XRefCopy20Row" hidden="1">#REF!</definedName>
    <definedName name="XRefCopy21" hidden="1">#REF!</definedName>
    <definedName name="XRefCopy22" hidden="1">#REF!</definedName>
    <definedName name="XRefCopy22Row" hidden="1">#REF!</definedName>
    <definedName name="XRefCopy23" hidden="1">#REF!</definedName>
    <definedName name="XRefCopy23Row" hidden="1">#REF!</definedName>
    <definedName name="XRefCopy24" hidden="1">#REF!</definedName>
    <definedName name="XRefCopy24Row" hidden="1">#REF!</definedName>
    <definedName name="XRefCopy25" hidden="1">#REF!</definedName>
    <definedName name="XRefCopy25Row" hidden="1">#REF!</definedName>
    <definedName name="XRefCopy26" hidden="1">#REF!</definedName>
    <definedName name="XRefCopy26Row" hidden="1">#REF!</definedName>
    <definedName name="XRefCopy27" hidden="1">#REF!</definedName>
    <definedName name="XRefCopy27Row" hidden="1">#REF!</definedName>
    <definedName name="XRefCopy28" hidden="1">#REF!</definedName>
    <definedName name="XRefCopy28Row" hidden="1">#REF!</definedName>
    <definedName name="XRefCopy29" hidden="1">#REF!</definedName>
    <definedName name="XRefCopy29Row" hidden="1">#REF!</definedName>
    <definedName name="XRefCopy3" localSheetId="0" hidden="1">#REF!</definedName>
    <definedName name="XRefCopy3" hidden="1">#REF!</definedName>
    <definedName name="XRefCopy30" localSheetId="0" hidden="1">#REF!</definedName>
    <definedName name="XRefCopy30" hidden="1">#REF!</definedName>
    <definedName name="XRefCopy30Row" localSheetId="0" hidden="1">#REF!</definedName>
    <definedName name="XRefCopy30Row" hidden="1">#REF!</definedName>
    <definedName name="XRefCopy31" hidden="1">#REF!</definedName>
    <definedName name="XRefCopy31Row" hidden="1">#REF!</definedName>
    <definedName name="XRefCopy32" hidden="1">#REF!</definedName>
    <definedName name="XRefCopy32Row" hidden="1">#REF!</definedName>
    <definedName name="XRefCopy33" hidden="1">#REF!</definedName>
    <definedName name="XRefCopy33Row" hidden="1">#REF!</definedName>
    <definedName name="XRefCopy34" hidden="1">#REF!</definedName>
    <definedName name="XRefCopy35" hidden="1">#REF!</definedName>
    <definedName name="XRefCopy35Row" hidden="1">#REF!</definedName>
    <definedName name="XRefCopy36" hidden="1">#REF!</definedName>
    <definedName name="XRefCopy37" hidden="1">#REF!</definedName>
    <definedName name="XRefCopy37Row" hidden="1">#REF!</definedName>
    <definedName name="XRefCopy38Row" localSheetId="0" hidden="1">#REF!</definedName>
    <definedName name="XRefCopy38Row" hidden="1">#REF!</definedName>
    <definedName name="XRefCopy39Row" localSheetId="0" hidden="1">#REF!</definedName>
    <definedName name="XRefCopy39Row" hidden="1">#REF!</definedName>
    <definedName name="XRefCopy41Row" localSheetId="0" hidden="1">#REF!</definedName>
    <definedName name="XRefCopy41Row" hidden="1">#REF!</definedName>
    <definedName name="XRefCopy42Row" localSheetId="0" hidden="1">#REF!</definedName>
    <definedName name="XRefCopy42Row" hidden="1">#REF!</definedName>
    <definedName name="XRefCopy43Row" localSheetId="0" hidden="1">#REF!</definedName>
    <definedName name="XRefCopy43Row" hidden="1">#REF!</definedName>
    <definedName name="XRefCopy5Row" localSheetId="0" hidden="1">#REF!</definedName>
    <definedName name="XRefCopy5Row" hidden="1">#REF!</definedName>
    <definedName name="XRefCopy6Row" localSheetId="0" hidden="1">#REF!</definedName>
    <definedName name="XRefCopy6Row" hidden="1">#REF!</definedName>
    <definedName name="XRefCopy7" localSheetId="0" hidden="1">#REF!</definedName>
    <definedName name="XRefCopy7" hidden="1">#REF!</definedName>
    <definedName name="XRefCopy7Row" localSheetId="0" hidden="1">#REF!</definedName>
    <definedName name="XRefCopy7Row" hidden="1">#REF!</definedName>
    <definedName name="XRefCopy8" hidden="1">#REF!</definedName>
    <definedName name="XRefCopy8Row" hidden="1">#REF!</definedName>
    <definedName name="XRefCopy9" hidden="1">#REF!</definedName>
    <definedName name="XRefCopy9Row" hidden="1">#REF!</definedName>
    <definedName name="XRefCopyRangeCount" hidden="1">7</definedName>
    <definedName name="XRefCopyRangeCount2" hidden="1">6</definedName>
    <definedName name="XRefPaste1" localSheetId="0" hidden="1">#REF!</definedName>
    <definedName name="XRefPaste1" hidden="1">#REF!</definedName>
    <definedName name="XRefPaste10Row" localSheetId="0" hidden="1">#REF!</definedName>
    <definedName name="XRefPaste10Row" hidden="1">#REF!</definedName>
    <definedName name="XRefPaste11" localSheetId="0" hidden="1">#REF!</definedName>
    <definedName name="XRefPaste11" hidden="1">#REF!</definedName>
    <definedName name="XRefPaste11Row" localSheetId="0" hidden="1">#REF!</definedName>
    <definedName name="XRefPaste11Row" hidden="1">#REF!</definedName>
    <definedName name="XRefPaste12" hidden="1">#REF!</definedName>
    <definedName name="XRefPaste14Row" localSheetId="0" hidden="1">#REF!</definedName>
    <definedName name="XRefPaste14Row" hidden="1">#REF!</definedName>
    <definedName name="XRefPaste15" localSheetId="0" hidden="1">#REF!</definedName>
    <definedName name="XRefPaste15" hidden="1">#REF!</definedName>
    <definedName name="XRefPaste15Row" localSheetId="0" hidden="1">#REF!</definedName>
    <definedName name="XRefPaste15Row" hidden="1">#REF!</definedName>
    <definedName name="XRefPaste16" hidden="1">#REF!</definedName>
    <definedName name="XRefPaste16Row" hidden="1">#REF!</definedName>
    <definedName name="XRefPaste17" hidden="1">#REF!</definedName>
    <definedName name="XRefPaste17Row" hidden="1">#REF!</definedName>
    <definedName name="XRefPaste18" hidden="1">#REF!</definedName>
    <definedName name="XRefPaste18Row" hidden="1">#REF!</definedName>
    <definedName name="XRefPaste19" hidden="1">#REF!</definedName>
    <definedName name="XRefPaste19Row" hidden="1">#REF!</definedName>
    <definedName name="XRefPaste1Row" hidden="1">#REF!</definedName>
    <definedName name="XRefPaste2" hidden="1">#REF!</definedName>
    <definedName name="XRefPaste20" hidden="1">#REF!</definedName>
    <definedName name="XRefPaste20Row" hidden="1">#REF!</definedName>
    <definedName name="XRefPaste21" hidden="1">#REF!</definedName>
    <definedName name="XRefPaste21Row" hidden="1">#REF!</definedName>
    <definedName name="XRefPaste22" hidden="1">#REF!</definedName>
    <definedName name="XRefPaste22Row" hidden="1">#REF!</definedName>
    <definedName name="XRefPaste23" hidden="1">#REF!</definedName>
    <definedName name="XRefPaste23Row" hidden="1">#REF!</definedName>
    <definedName name="XRefPaste24" hidden="1">#REF!</definedName>
    <definedName name="XRefPaste24Row" hidden="1">#REF!</definedName>
    <definedName name="XRefPaste25" hidden="1">#REF!</definedName>
    <definedName name="XRefPaste25Row" hidden="1">#REF!</definedName>
    <definedName name="XRefPaste26" hidden="1">#REF!</definedName>
    <definedName name="XRefPaste26Row" hidden="1">#REF!</definedName>
    <definedName name="XRefPaste27" hidden="1">#REF!</definedName>
    <definedName name="XRefPaste27Row" hidden="1">#REF!</definedName>
    <definedName name="XRefPaste28" hidden="1">#REF!</definedName>
    <definedName name="XRefPaste28Row" hidden="1">#REF!</definedName>
    <definedName name="XRefPaste29" hidden="1">#REF!</definedName>
    <definedName name="XRefPaste29Row" hidden="1">#REF!</definedName>
    <definedName name="XRefPaste2Row" hidden="1">#REF!</definedName>
    <definedName name="XRefPaste3" hidden="1">#REF!</definedName>
    <definedName name="XRefPaste30" hidden="1">#REF!</definedName>
    <definedName name="XRefPaste30Row" hidden="1">#REF!</definedName>
    <definedName name="XRefPaste31" hidden="1">#REF!</definedName>
    <definedName name="XRefPaste31Row" hidden="1">#REF!</definedName>
    <definedName name="XRefPaste32" hidden="1">#REF!</definedName>
    <definedName name="XRefPaste32Row" hidden="1">#REF!</definedName>
    <definedName name="XRefPaste33" hidden="1">#REF!</definedName>
    <definedName name="XRefPaste33Row" hidden="1">#REF!</definedName>
    <definedName name="XRefPaste34" hidden="1">#REF!</definedName>
    <definedName name="XRefPaste34Row" hidden="1">#REF!</definedName>
    <definedName name="XRefPaste35" hidden="1">#REF!</definedName>
    <definedName name="XRefPaste35Row" hidden="1">#REF!</definedName>
    <definedName name="XRefPaste36" hidden="1">#REF!</definedName>
    <definedName name="XRefPaste36Row" hidden="1">#REF!</definedName>
    <definedName name="XRefPaste37Row" hidden="1">#REF!</definedName>
    <definedName name="XRefPaste38Row" hidden="1">#REF!</definedName>
    <definedName name="XRefPaste3Row" localSheetId="0" hidden="1">#REF!</definedName>
    <definedName name="XRefPaste3Row" hidden="1">#REF!</definedName>
    <definedName name="XRefPaste4" localSheetId="0" hidden="1">#REF!</definedName>
    <definedName name="XRefPaste4" hidden="1">#REF!</definedName>
    <definedName name="XRefPaste42" localSheetId="0" hidden="1">#REF!</definedName>
    <definedName name="XRefPaste42" hidden="1">#REF!</definedName>
    <definedName name="XRefPaste42Row" hidden="1">#REF!</definedName>
    <definedName name="XRefPaste43" hidden="1">#REF!</definedName>
    <definedName name="XRefPaste43Row" hidden="1">#REF!</definedName>
    <definedName name="XRefPaste4Row" hidden="1">#REF!</definedName>
    <definedName name="XRefPaste5" hidden="1">#REF!</definedName>
    <definedName name="XRefPaste5Row" hidden="1">#REF!</definedName>
    <definedName name="XRefPaste6" hidden="1">#REF!</definedName>
    <definedName name="XRefPaste6Row" hidden="1">#REF!</definedName>
    <definedName name="XRefPaste7" hidden="1">#REF!</definedName>
    <definedName name="XRefPaste7Row" hidden="1">#REF!</definedName>
    <definedName name="XRefPaste8" hidden="1">#REF!</definedName>
    <definedName name="XRefPaste8Row" hidden="1">#REF!</definedName>
    <definedName name="XRefPaste9" hidden="1">#REF!</definedName>
    <definedName name="XRefPaste9Row" hidden="1">#REF!</definedName>
    <definedName name="XRefPasteRangeCount" hidden="1">5</definedName>
    <definedName name="XX" localSheetId="0" hidden="1">{TRUE,TRUE,-1.25,-15.5,484.5,276.75,FALSE,TRUE,TRUE,TRUE,0,4,#N/A,75,#N/A,11.6964285714286,15.4230769230769,1,FALSE,FALSE,3,TRUE,1,FALSE,100,"Swvu.PACU1.","ACwvu.PACU1.",#N/A,FALSE,FALSE,0.75,0.75,1.75,1,1,"&amp;C&amp;12ST. VINCENT HOSPITAL
PACU STATISTICS
JULY, 1995 - JUNE 1996&amp;10
","&amp;L&amp;D
&amp;F
PACU2
",FALSE,FALSE,FALSE,TRUE,1,100,#N/A,#N/A,"=R1C1:R80C9",FALSE,"Rwvu.PACU1.",#N/A,FALSE,FALSE,FALSE,1,180,180,FALSE,FALSE,TRUE,TRUE,TRUE}</definedName>
    <definedName name="XX" hidden="1">{TRUE,TRUE,-1.25,-15.5,484.5,276.75,FALSE,TRUE,TRUE,TRUE,0,4,#N/A,75,#N/A,11.6964285714286,15.4230769230769,1,FALSE,FALSE,3,TRUE,1,FALSE,100,"Swvu.PACU1.","ACwvu.PACU1.",#N/A,FALSE,FALSE,0.75,0.75,1.75,1,1,"&amp;C&amp;12ST. VINCENT HOSPITAL
PACU STATISTICS
JULY, 1995 - JUNE 1996&amp;10
","&amp;L&amp;D
&amp;F
PACU2
",FALSE,FALSE,FALSE,TRUE,1,100,#N/A,#N/A,"=R1C1:R80C9",FALSE,"Rwvu.PACU1.",#N/A,FALSE,FALSE,FALSE,1,180,180,FALSE,FALSE,TRUE,TRUE,TRUE}</definedName>
    <definedName name="XXX" localSheetId="0" hidden="1">{TRUE,TRUE,-1.25,-15.5,484.5,276.75,FALSE,TRUE,TRUE,TRUE,0,4,#N/A,75,#N/A,11.6964285714286,15.4230769230769,1,FALSE,FALSE,3,TRUE,1,FALSE,100,"Swvu.PACU1.","ACwvu.PACU1.",#N/A,FALSE,FALSE,0.75,0.75,1.75,1,1,"&amp;C&amp;12ST. VINCENT HOSPITAL
PACU STATISTICS
JULY, 1995 - JUNE 1996&amp;10
","&amp;L&amp;D
&amp;F
PACU2
",FALSE,FALSE,FALSE,TRUE,1,100,#N/A,#N/A,"=R1C1:R80C9",FALSE,"Rwvu.PACU1.",#N/A,FALSE,FALSE,FALSE,1,180,180,FALSE,FALSE,TRUE,TRUE,TRUE}</definedName>
    <definedName name="XXX" hidden="1">{TRUE,TRUE,-1.25,-15.5,484.5,276.75,FALSE,TRUE,TRUE,TRUE,0,4,#N/A,75,#N/A,11.6964285714286,15.4230769230769,1,FALSE,FALSE,3,TRUE,1,FALSE,100,"Swvu.PACU1.","ACwvu.PACU1.",#N/A,FALSE,FALSE,0.75,0.75,1.75,1,1,"&amp;C&amp;12ST. VINCENT HOSPITAL
PACU STATISTICS
JULY, 1995 - JUNE 1996&amp;10
","&amp;L&amp;D
&amp;F
PACU2
",FALSE,FALSE,FALSE,TRUE,1,100,#N/A,#N/A,"=R1C1:R80C9",FALSE,"Rwvu.PACU1.",#N/A,FALSE,FALSE,FALSE,1,180,180,FALSE,FALSE,TRUE,TRUE,TRUE}</definedName>
    <definedName name="yioyi" localSheetId="0" hidden="1">{#N/A,#N/A,TRUE,"1Q BCG";#N/A,#N/A,TRUE,"1Q w|o Wireless";#N/A,#N/A,TRUE,"1Q Wireless"}</definedName>
    <definedName name="yioyi" hidden="1">{#N/A,#N/A,TRUE,"1Q BCG";#N/A,#N/A,TRUE,"1Q w|o Wireless";#N/A,#N/A,TRUE,"1Q Wireless"}</definedName>
    <definedName name="zzzzz" localSheetId="0" hidden="1">{TRUE,TRUE,-1.25,-15.5,484.5,276.75,FALSE,TRUE,TRUE,TRUE,0,4,#N/A,75,#N/A,11.6964285714286,15.4230769230769,1,FALSE,FALSE,3,TRUE,1,FALSE,100,"Swvu.PACU1.","ACwvu.PACU1.",#N/A,FALSE,FALSE,0.75,0.75,1.75,1,1,"&amp;C&amp;12ST. VINCENT HOSPITAL
PACU STATISTICS
JULY, 1995 - JUNE 1996&amp;10
","&amp;L&amp;D
&amp;F
PACU2
",FALSE,FALSE,FALSE,TRUE,1,100,#N/A,#N/A,"=R1C1:R80C9",FALSE,"Rwvu.PACU1.",#N/A,FALSE,FALSE,FALSE,1,180,180,FALSE,FALSE,TRUE,TRUE,TRUE}</definedName>
    <definedName name="zzzzz" hidden="1">{TRUE,TRUE,-1.25,-15.5,484.5,276.75,FALSE,TRUE,TRUE,TRUE,0,4,#N/A,75,#N/A,11.6964285714286,15.4230769230769,1,FALSE,FALSE,3,TRUE,1,FALSE,100,"Swvu.PACU1.","ACwvu.PACU1.",#N/A,FALSE,FALSE,0.75,0.75,1.75,1,1,"&amp;C&amp;12ST. VINCENT HOSPITAL
PACU STATISTICS
JULY, 1995 - JUNE 1996&amp;10
","&amp;L&amp;D
&amp;F
PACU2
",FALSE,FALSE,FALSE,TRUE,1,100,#N/A,#N/A,"=R1C1:R80C9",FALSE,"Rwvu.PACU1.",#N/A,FALSE,FALSE,FALSE,1,180,180,FALSE,FALSE,TRUE,TRUE,TRUE}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2" i="4" l="1"/>
  <c r="J17" i="4"/>
  <c r="K32" i="4"/>
  <c r="K26" i="4"/>
  <c r="K17" i="4"/>
  <c r="L32" i="4"/>
  <c r="L17" i="4"/>
  <c r="M32" i="4"/>
  <c r="M17" i="4"/>
  <c r="O46" i="4" l="1"/>
  <c r="M46" i="4"/>
  <c r="L46" i="4"/>
  <c r="K46" i="4"/>
  <c r="J46" i="4"/>
  <c r="O45" i="4"/>
  <c r="M45" i="4"/>
  <c r="L45" i="4"/>
  <c r="K45" i="4"/>
  <c r="J45" i="4"/>
  <c r="G45" i="4"/>
  <c r="D45" i="4"/>
  <c r="B45" i="4"/>
  <c r="O44" i="4"/>
  <c r="M44" i="4"/>
  <c r="L44" i="4"/>
  <c r="K44" i="4"/>
  <c r="J44" i="4"/>
  <c r="G44" i="4"/>
  <c r="B44" i="4"/>
  <c r="O43" i="4"/>
  <c r="M43" i="4"/>
  <c r="L43" i="4"/>
  <c r="K43" i="4"/>
  <c r="J43" i="4"/>
  <c r="O42" i="4"/>
  <c r="M42" i="4"/>
  <c r="L42" i="4"/>
  <c r="K42" i="4"/>
  <c r="J42" i="4"/>
  <c r="G42" i="4"/>
  <c r="D42" i="4"/>
  <c r="C42" i="4"/>
  <c r="B42" i="4"/>
  <c r="O41" i="4"/>
  <c r="M41" i="4"/>
  <c r="L41" i="4"/>
  <c r="K41" i="4"/>
  <c r="J41" i="4"/>
  <c r="G41" i="4"/>
  <c r="O40" i="4"/>
  <c r="M40" i="4"/>
  <c r="L40" i="4"/>
  <c r="K40" i="4"/>
  <c r="J40" i="4"/>
  <c r="G40" i="4"/>
  <c r="E40" i="4"/>
  <c r="D40" i="4"/>
  <c r="C40" i="4"/>
  <c r="B40" i="4"/>
  <c r="O33" i="4"/>
  <c r="O76" i="4" s="1"/>
  <c r="M33" i="4"/>
  <c r="M71" i="4" s="1"/>
  <c r="L33" i="4"/>
  <c r="L75" i="4" s="1"/>
  <c r="K33" i="4"/>
  <c r="K71" i="4" s="1"/>
  <c r="J33" i="4"/>
  <c r="J74" i="4" s="1"/>
  <c r="N32" i="4"/>
  <c r="G32" i="4"/>
  <c r="E32" i="4"/>
  <c r="D32" i="4"/>
  <c r="C32" i="4"/>
  <c r="B32" i="4"/>
  <c r="N31" i="4"/>
  <c r="P31" i="4" s="1"/>
  <c r="E31" i="4"/>
  <c r="C31" i="4"/>
  <c r="N30" i="4"/>
  <c r="P30" i="4" s="1"/>
  <c r="E30" i="4"/>
  <c r="D30" i="4"/>
  <c r="C30" i="4"/>
  <c r="N29" i="4"/>
  <c r="P29" i="4" s="1"/>
  <c r="G29" i="4"/>
  <c r="E29" i="4"/>
  <c r="D29" i="4"/>
  <c r="C29" i="4"/>
  <c r="B29" i="4"/>
  <c r="N28" i="4"/>
  <c r="P28" i="4" s="1"/>
  <c r="E28" i="4"/>
  <c r="F28" i="4" s="1"/>
  <c r="H28" i="4" s="1"/>
  <c r="N27" i="4"/>
  <c r="E27" i="4"/>
  <c r="D27" i="4"/>
  <c r="C27" i="4"/>
  <c r="B27" i="4"/>
  <c r="N26" i="4"/>
  <c r="P26" i="4" s="1"/>
  <c r="E26" i="4"/>
  <c r="F26" i="4" s="1"/>
  <c r="H26" i="4" s="1"/>
  <c r="O18" i="4"/>
  <c r="O59" i="4" s="1"/>
  <c r="M18" i="4"/>
  <c r="M58" i="4" s="1"/>
  <c r="L18" i="4"/>
  <c r="L57" i="4" s="1"/>
  <c r="K18" i="4"/>
  <c r="K62" i="4" s="1"/>
  <c r="J18" i="4"/>
  <c r="J62" i="4" s="1"/>
  <c r="N17" i="4"/>
  <c r="G17" i="4"/>
  <c r="E17" i="4"/>
  <c r="D17" i="4"/>
  <c r="C17" i="4"/>
  <c r="B17" i="4"/>
  <c r="N16" i="4"/>
  <c r="E16" i="4"/>
  <c r="C16" i="4"/>
  <c r="N15" i="4"/>
  <c r="E15" i="4"/>
  <c r="D15" i="4"/>
  <c r="C15" i="4"/>
  <c r="N14" i="4"/>
  <c r="P14" i="4" s="1"/>
  <c r="G14" i="4"/>
  <c r="G18" i="4" s="1"/>
  <c r="E14" i="4"/>
  <c r="E43" i="4" s="1"/>
  <c r="D14" i="4"/>
  <c r="C14" i="4"/>
  <c r="B14" i="4"/>
  <c r="B43" i="4" s="1"/>
  <c r="N13" i="4"/>
  <c r="E13" i="4"/>
  <c r="F13" i="4" s="1"/>
  <c r="H13" i="4" s="1"/>
  <c r="N12" i="4"/>
  <c r="P12" i="4" s="1"/>
  <c r="E12" i="4"/>
  <c r="D12" i="4"/>
  <c r="C12" i="4"/>
  <c r="B12" i="4"/>
  <c r="N11" i="4"/>
  <c r="E11" i="4"/>
  <c r="F11" i="4" s="1"/>
  <c r="H11" i="4" s="1"/>
  <c r="C43" i="3"/>
  <c r="D43" i="3"/>
  <c r="D32" i="3"/>
  <c r="D19" i="3"/>
  <c r="D9" i="3"/>
  <c r="C9" i="3"/>
  <c r="F15" i="4" l="1"/>
  <c r="H15" i="4" s="1"/>
  <c r="K47" i="4"/>
  <c r="K87" i="4" s="1"/>
  <c r="L72" i="4"/>
  <c r="M74" i="4"/>
  <c r="N40" i="4"/>
  <c r="D33" i="4"/>
  <c r="D75" i="4" s="1"/>
  <c r="N45" i="4"/>
  <c r="P45" i="4" s="1"/>
  <c r="E45" i="4"/>
  <c r="B46" i="4"/>
  <c r="J72" i="4"/>
  <c r="C46" i="4"/>
  <c r="K72" i="4"/>
  <c r="J77" i="4"/>
  <c r="F32" i="4"/>
  <c r="H32" i="4" s="1"/>
  <c r="C43" i="4"/>
  <c r="F43" i="4" s="1"/>
  <c r="H43" i="4" s="1"/>
  <c r="F29" i="4"/>
  <c r="H29" i="4" s="1"/>
  <c r="G60" i="4"/>
  <c r="G59" i="4"/>
  <c r="J60" i="4"/>
  <c r="D44" i="4"/>
  <c r="K73" i="4"/>
  <c r="O56" i="4"/>
  <c r="J61" i="4"/>
  <c r="L73" i="4"/>
  <c r="M56" i="4"/>
  <c r="E42" i="4"/>
  <c r="F42" i="4" s="1"/>
  <c r="H42" i="4" s="1"/>
  <c r="G43" i="4"/>
  <c r="K61" i="4"/>
  <c r="M73" i="4"/>
  <c r="K56" i="4"/>
  <c r="L61" i="4"/>
  <c r="O47" i="4"/>
  <c r="O86" i="4" s="1"/>
  <c r="L56" i="4"/>
  <c r="G46" i="4"/>
  <c r="M57" i="4"/>
  <c r="M61" i="4"/>
  <c r="L60" i="4"/>
  <c r="C18" i="4"/>
  <c r="C61" i="4" s="1"/>
  <c r="J73" i="4"/>
  <c r="O57" i="4"/>
  <c r="K74" i="4"/>
  <c r="K60" i="4"/>
  <c r="L62" i="4"/>
  <c r="L74" i="4"/>
  <c r="M62" i="4"/>
  <c r="O58" i="4"/>
  <c r="O62" i="4"/>
  <c r="M75" i="4"/>
  <c r="J71" i="4"/>
  <c r="L71" i="4"/>
  <c r="F16" i="4"/>
  <c r="N33" i="4"/>
  <c r="N72" i="4" s="1"/>
  <c r="P16" i="4"/>
  <c r="N46" i="4"/>
  <c r="F31" i="4"/>
  <c r="C33" i="4"/>
  <c r="C74" i="4" s="1"/>
  <c r="P27" i="4"/>
  <c r="L47" i="4"/>
  <c r="L87" i="4" s="1"/>
  <c r="N43" i="4"/>
  <c r="P43" i="4" s="1"/>
  <c r="C41" i="4"/>
  <c r="P17" i="4"/>
  <c r="P32" i="4"/>
  <c r="N18" i="4"/>
  <c r="N57" i="4" s="1"/>
  <c r="P11" i="4"/>
  <c r="E33" i="4"/>
  <c r="E77" i="4" s="1"/>
  <c r="B18" i="4"/>
  <c r="B59" i="4" s="1"/>
  <c r="B41" i="4"/>
  <c r="F12" i="4"/>
  <c r="E46" i="4"/>
  <c r="F17" i="4"/>
  <c r="G61" i="4"/>
  <c r="G56" i="4"/>
  <c r="G57" i="4"/>
  <c r="G58" i="4"/>
  <c r="E41" i="4"/>
  <c r="E18" i="4"/>
  <c r="E56" i="4" s="1"/>
  <c r="N44" i="4"/>
  <c r="P44" i="4" s="1"/>
  <c r="P15" i="4"/>
  <c r="D18" i="4"/>
  <c r="D60" i="4" s="1"/>
  <c r="D41" i="4"/>
  <c r="D43" i="4"/>
  <c r="G33" i="4"/>
  <c r="G74" i="4" s="1"/>
  <c r="J47" i="4"/>
  <c r="J86" i="4" s="1"/>
  <c r="G62" i="4"/>
  <c r="O75" i="4"/>
  <c r="P40" i="4"/>
  <c r="F30" i="4"/>
  <c r="N42" i="4"/>
  <c r="B33" i="4"/>
  <c r="F27" i="4"/>
  <c r="B72" i="4"/>
  <c r="C44" i="4"/>
  <c r="F40" i="4"/>
  <c r="O74" i="4"/>
  <c r="P13" i="4"/>
  <c r="E44" i="4"/>
  <c r="F14" i="4"/>
  <c r="N41" i="4"/>
  <c r="P41" i="4" s="1"/>
  <c r="D46" i="4"/>
  <c r="F46" i="4" s="1"/>
  <c r="M47" i="4"/>
  <c r="O71" i="4"/>
  <c r="O72" i="4"/>
  <c r="O73" i="4"/>
  <c r="O77" i="4"/>
  <c r="C45" i="4"/>
  <c r="K59" i="4"/>
  <c r="M60" i="4"/>
  <c r="O61" i="4"/>
  <c r="K77" i="4"/>
  <c r="J58" i="4"/>
  <c r="L59" i="4"/>
  <c r="J76" i="4"/>
  <c r="L77" i="4"/>
  <c r="K58" i="4"/>
  <c r="M59" i="4"/>
  <c r="O60" i="4"/>
  <c r="K76" i="4"/>
  <c r="M77" i="4"/>
  <c r="J57" i="4"/>
  <c r="L58" i="4"/>
  <c r="J75" i="4"/>
  <c r="L76" i="4"/>
  <c r="J59" i="4"/>
  <c r="K57" i="4"/>
  <c r="K75" i="4"/>
  <c r="M76" i="4"/>
  <c r="J56" i="4"/>
  <c r="M72" i="4"/>
  <c r="D26" i="3"/>
  <c r="C26" i="3"/>
  <c r="C32" i="3"/>
  <c r="C40" i="3"/>
  <c r="C44" i="3" s="1"/>
  <c r="C19" i="3"/>
  <c r="D40" i="3"/>
  <c r="D74" i="4" l="1"/>
  <c r="D77" i="4"/>
  <c r="D72" i="4"/>
  <c r="D71" i="4"/>
  <c r="D76" i="4"/>
  <c r="D73" i="4"/>
  <c r="J78" i="4"/>
  <c r="K91" i="4"/>
  <c r="K86" i="4"/>
  <c r="K89" i="4"/>
  <c r="K85" i="4"/>
  <c r="K90" i="4"/>
  <c r="K88" i="4"/>
  <c r="L91" i="4"/>
  <c r="N56" i="4"/>
  <c r="C58" i="4"/>
  <c r="L78" i="4"/>
  <c r="C57" i="4"/>
  <c r="K63" i="4"/>
  <c r="C59" i="4"/>
  <c r="C63" i="4" s="1"/>
  <c r="E75" i="4"/>
  <c r="F18" i="4"/>
  <c r="F57" i="4" s="1"/>
  <c r="M78" i="4"/>
  <c r="C60" i="4"/>
  <c r="M63" i="4"/>
  <c r="G47" i="4"/>
  <c r="G87" i="4" s="1"/>
  <c r="O91" i="4"/>
  <c r="C62" i="4"/>
  <c r="C56" i="4"/>
  <c r="N77" i="4"/>
  <c r="K78" i="4"/>
  <c r="N71" i="4"/>
  <c r="O89" i="4"/>
  <c r="N76" i="4"/>
  <c r="O63" i="4"/>
  <c r="J87" i="4"/>
  <c r="L88" i="4"/>
  <c r="O88" i="4"/>
  <c r="E60" i="4"/>
  <c r="J91" i="4"/>
  <c r="O78" i="4"/>
  <c r="O85" i="4"/>
  <c r="E62" i="4"/>
  <c r="O90" i="4"/>
  <c r="J89" i="4"/>
  <c r="D47" i="4"/>
  <c r="D87" i="4" s="1"/>
  <c r="E47" i="4"/>
  <c r="E90" i="4" s="1"/>
  <c r="D59" i="4"/>
  <c r="O87" i="4"/>
  <c r="L63" i="4"/>
  <c r="E76" i="4"/>
  <c r="E88" i="4"/>
  <c r="E87" i="4"/>
  <c r="D90" i="4"/>
  <c r="F44" i="4"/>
  <c r="H27" i="4"/>
  <c r="F33" i="4"/>
  <c r="F76" i="4" s="1"/>
  <c r="M85" i="4"/>
  <c r="M90" i="4"/>
  <c r="M91" i="4"/>
  <c r="M86" i="4"/>
  <c r="B76" i="4"/>
  <c r="B71" i="4"/>
  <c r="B73" i="4"/>
  <c r="B75" i="4"/>
  <c r="B74" i="4"/>
  <c r="N60" i="4"/>
  <c r="P33" i="4"/>
  <c r="P72" i="4" s="1"/>
  <c r="G63" i="4"/>
  <c r="P46" i="4"/>
  <c r="M88" i="4"/>
  <c r="L89" i="4"/>
  <c r="L90" i="4"/>
  <c r="L85" i="4"/>
  <c r="L86" i="4"/>
  <c r="E74" i="4"/>
  <c r="G73" i="4"/>
  <c r="G76" i="4"/>
  <c r="G75" i="4"/>
  <c r="G71" i="4"/>
  <c r="G72" i="4"/>
  <c r="G77" i="4"/>
  <c r="N62" i="4"/>
  <c r="J63" i="4"/>
  <c r="E73" i="4"/>
  <c r="M89" i="4"/>
  <c r="H12" i="4"/>
  <c r="N61" i="4"/>
  <c r="N74" i="4"/>
  <c r="N75" i="4"/>
  <c r="N73" i="4"/>
  <c r="D91" i="4"/>
  <c r="J88" i="4"/>
  <c r="J90" i="4"/>
  <c r="J85" i="4"/>
  <c r="E89" i="4"/>
  <c r="F41" i="4"/>
  <c r="P18" i="4"/>
  <c r="P56" i="4" s="1"/>
  <c r="C76" i="4"/>
  <c r="H46" i="4"/>
  <c r="P42" i="4"/>
  <c r="H14" i="4"/>
  <c r="N58" i="4"/>
  <c r="N59" i="4"/>
  <c r="F61" i="4"/>
  <c r="H16" i="4"/>
  <c r="C77" i="4"/>
  <c r="M87" i="4"/>
  <c r="H40" i="4"/>
  <c r="H17" i="4"/>
  <c r="C47" i="4"/>
  <c r="C89" i="4" s="1"/>
  <c r="H30" i="4"/>
  <c r="E59" i="4"/>
  <c r="E58" i="4"/>
  <c r="E71" i="4"/>
  <c r="D78" i="4"/>
  <c r="B77" i="4"/>
  <c r="E72" i="4"/>
  <c r="E57" i="4"/>
  <c r="E61" i="4"/>
  <c r="B58" i="4"/>
  <c r="B60" i="4"/>
  <c r="B61" i="4"/>
  <c r="B62" i="4"/>
  <c r="B57" i="4"/>
  <c r="B56" i="4"/>
  <c r="N47" i="4"/>
  <c r="N86" i="4" s="1"/>
  <c r="C71" i="4"/>
  <c r="C73" i="4"/>
  <c r="C75" i="4"/>
  <c r="F45" i="4"/>
  <c r="D86" i="4"/>
  <c r="D61" i="4"/>
  <c r="D56" i="4"/>
  <c r="D62" i="4"/>
  <c r="D57" i="4"/>
  <c r="D58" i="4"/>
  <c r="H31" i="4"/>
  <c r="C72" i="4"/>
  <c r="E91" i="4"/>
  <c r="E86" i="4"/>
  <c r="B47" i="4"/>
  <c r="D45" i="3"/>
  <c r="D42" i="3"/>
  <c r="C45" i="3"/>
  <c r="C42" i="3"/>
  <c r="D44" i="3"/>
  <c r="F60" i="4" l="1"/>
  <c r="F59" i="4"/>
  <c r="F56" i="4"/>
  <c r="F63" i="4" s="1"/>
  <c r="F58" i="4"/>
  <c r="F62" i="4"/>
  <c r="K92" i="4"/>
  <c r="P61" i="4"/>
  <c r="P58" i="4"/>
  <c r="O92" i="4"/>
  <c r="G86" i="4"/>
  <c r="G89" i="4"/>
  <c r="G91" i="4"/>
  <c r="E63" i="4"/>
  <c r="G90" i="4"/>
  <c r="P77" i="4"/>
  <c r="P47" i="4"/>
  <c r="P85" i="4" s="1"/>
  <c r="G88" i="4"/>
  <c r="G85" i="4"/>
  <c r="G92" i="4" s="1"/>
  <c r="C90" i="4"/>
  <c r="N63" i="4"/>
  <c r="D88" i="4"/>
  <c r="N87" i="4"/>
  <c r="D85" i="4"/>
  <c r="D89" i="4"/>
  <c r="P60" i="4"/>
  <c r="F75" i="4"/>
  <c r="F47" i="4"/>
  <c r="F90" i="4" s="1"/>
  <c r="N88" i="4"/>
  <c r="E85" i="4"/>
  <c r="L92" i="4"/>
  <c r="N89" i="4"/>
  <c r="N78" i="4"/>
  <c r="F87" i="4"/>
  <c r="F91" i="4"/>
  <c r="F85" i="4"/>
  <c r="F88" i="4"/>
  <c r="B85" i="4"/>
  <c r="B87" i="4"/>
  <c r="B88" i="4"/>
  <c r="B90" i="4"/>
  <c r="B89" i="4"/>
  <c r="B91" i="4"/>
  <c r="C78" i="4"/>
  <c r="G78" i="4"/>
  <c r="N90" i="4"/>
  <c r="N85" i="4"/>
  <c r="E78" i="4"/>
  <c r="F89" i="4"/>
  <c r="H44" i="4"/>
  <c r="B63" i="4"/>
  <c r="P57" i="4"/>
  <c r="P59" i="4"/>
  <c r="P62" i="4"/>
  <c r="H18" i="4"/>
  <c r="H57" i="4" s="1"/>
  <c r="H45" i="4"/>
  <c r="P75" i="4"/>
  <c r="P71" i="4"/>
  <c r="P74" i="4"/>
  <c r="P73" i="4"/>
  <c r="P76" i="4"/>
  <c r="B86" i="4"/>
  <c r="F86" i="4"/>
  <c r="H41" i="4"/>
  <c r="H47" i="4" s="1"/>
  <c r="H91" i="4" s="1"/>
  <c r="B78" i="4"/>
  <c r="F77" i="4"/>
  <c r="F74" i="4"/>
  <c r="F73" i="4"/>
  <c r="F71" i="4"/>
  <c r="D63" i="4"/>
  <c r="F72" i="4"/>
  <c r="H33" i="4"/>
  <c r="H72" i="4" s="1"/>
  <c r="N91" i="4"/>
  <c r="E92" i="4"/>
  <c r="C85" i="4"/>
  <c r="C87" i="4"/>
  <c r="C88" i="4"/>
  <c r="C91" i="4"/>
  <c r="C86" i="4"/>
  <c r="J92" i="4"/>
  <c r="M92" i="4"/>
  <c r="D92" i="4" l="1"/>
  <c r="P88" i="4"/>
  <c r="P91" i="4"/>
  <c r="P89" i="4"/>
  <c r="F78" i="4"/>
  <c r="P86" i="4"/>
  <c r="P90" i="4"/>
  <c r="P87" i="4"/>
  <c r="P63" i="4"/>
  <c r="H76" i="4"/>
  <c r="B92" i="4"/>
  <c r="N92" i="4"/>
  <c r="H88" i="4"/>
  <c r="H87" i="4"/>
  <c r="H90" i="4"/>
  <c r="H85" i="4"/>
  <c r="P78" i="4"/>
  <c r="H62" i="4"/>
  <c r="H86" i="4"/>
  <c r="H71" i="4"/>
  <c r="H73" i="4"/>
  <c r="H74" i="4"/>
  <c r="H77" i="4"/>
  <c r="H75" i="4"/>
  <c r="H89" i="4"/>
  <c r="F92" i="4"/>
  <c r="H61" i="4"/>
  <c r="H60" i="4"/>
  <c r="H56" i="4"/>
  <c r="H58" i="4"/>
  <c r="H59" i="4"/>
  <c r="C92" i="4"/>
  <c r="P92" i="4" l="1"/>
  <c r="H92" i="4"/>
  <c r="H78" i="4"/>
  <c r="H63" i="4"/>
</calcChain>
</file>

<file path=xl/sharedStrings.xml><?xml version="1.0" encoding="utf-8"?>
<sst xmlns="http://schemas.openxmlformats.org/spreadsheetml/2006/main" count="322" uniqueCount="134">
  <si>
    <t>Top 15 DRGs by Hospital</t>
  </si>
  <si>
    <t>Source: UMMH EPSI System</t>
  </si>
  <si>
    <t>Medical Center:</t>
  </si>
  <si>
    <t>DRG - DRG Description</t>
  </si>
  <si>
    <t>FY24</t>
  </si>
  <si>
    <t>807 - VAGINAL DELIVERY WITHOUT STERILIZATION OR DC WITHOUT CC/MCC</t>
  </si>
  <si>
    <t>871 - SEPTICEMIA OR SEVERE SEPSIS WITHOUT MV &gt;96 HOURS WITH MCC</t>
  </si>
  <si>
    <t>794 - NEONATE WITH OTHER SIGNIFICANT PROBLEMS</t>
  </si>
  <si>
    <t>291 - HEART FAILURE AND SHOCK WITH MCC</t>
  </si>
  <si>
    <t>788 - CESAREAN SECTION WITHOUT STERILIZATION WITHOUT CC/MCC</t>
  </si>
  <si>
    <t>885 - PSYCHOSES</t>
  </si>
  <si>
    <t>806 - VAGINAL DELIVERY WITHOUT STERILIZATION OR DC WITH CC</t>
  </si>
  <si>
    <t>193 - SIMPLE PNEUMONIA AND PLEURISY WITH MCC</t>
  </si>
  <si>
    <t>177 - RESPIRATORY INFECTIONS AND INFLAMMATIONS WITH MCC</t>
  </si>
  <si>
    <t>787 - CESAREAN SECTION WITHOUT STERILIZATION WITH CC</t>
  </si>
  <si>
    <t>202 - BRONCHITIS AND ASTHMA WITH CC/MCC</t>
  </si>
  <si>
    <t>897 - ALCOHOL, DRUG ABUSE OR DEPENDENCE WITHOUT REHABILITATION THERAPY WITHOUT MCC</t>
  </si>
  <si>
    <t>189 - PULMONARY EDEMA AND RESPIRATORY FAILURE</t>
  </si>
  <si>
    <t>392 - ESOPHAGITIS, GASTROENTERITIS AND MISCELLANEOUS DIGESTIVE DISORDERS WITHOUT MCC</t>
  </si>
  <si>
    <t>792 - PREMATURITY WITHOUT MAJOR PROBLEMS</t>
  </si>
  <si>
    <t>Marlbough Hospital:</t>
  </si>
  <si>
    <t>881 - DEPRESSIVE NEUROSES</t>
  </si>
  <si>
    <t>190 - CHRONIC OBSTRUCTIVE PULMONARY DISEASE WITH MCC</t>
  </si>
  <si>
    <t>689 - KIDNEY AND URINARY TRACT INFECTIONS WITH MCC</t>
  </si>
  <si>
    <t>896 - ALCOHOL, DRUG ABUSE OR DEPENDENCE WITHOUT REHABILITATION THERAPY WITH MCC</t>
  </si>
  <si>
    <t>698 - OTHER KIDNEY AND URINARY TRACT DIAGNOSES WITH MCC</t>
  </si>
  <si>
    <t>872 - SEPTICEMIA OR SEVERE SEPSIS WITHOUT MV &gt;96 HOURS WITHOUT MCC</t>
  </si>
  <si>
    <t>640 - MISCELLANEOUS DISORDERS OF NUTRITION, METABOLISM, FLUIDS AND ELECTROLYTES WITH MCC</t>
  </si>
  <si>
    <t>682 - RENAL FAILURE WITH MCC</t>
  </si>
  <si>
    <t>Top 10 Communities by Hospital</t>
  </si>
  <si>
    <t>Community</t>
  </si>
  <si>
    <t>Worcester</t>
  </si>
  <si>
    <t>Shrewsbury</t>
  </si>
  <si>
    <t>Fitchburg</t>
  </si>
  <si>
    <t>Leominster</t>
  </si>
  <si>
    <t>Marlborough</t>
  </si>
  <si>
    <t>Auburn</t>
  </si>
  <si>
    <t>Westborough</t>
  </si>
  <si>
    <t>Holden</t>
  </si>
  <si>
    <t>Millbury</t>
  </si>
  <si>
    <t>Webster</t>
  </si>
  <si>
    <t>Hudson</t>
  </si>
  <si>
    <t>Northborough</t>
  </si>
  <si>
    <t>Southborough</t>
  </si>
  <si>
    <t>Berlin</t>
  </si>
  <si>
    <t>Framingham</t>
  </si>
  <si>
    <t>#N/A</t>
  </si>
  <si>
    <t>Clinton</t>
  </si>
  <si>
    <t>DPH Tab</t>
  </si>
  <si>
    <t>Description</t>
  </si>
  <si>
    <t>Medical Center</t>
  </si>
  <si>
    <t>Marlborough Hospital</t>
  </si>
  <si>
    <t>Appendix F</t>
  </si>
  <si>
    <t>Discharges</t>
  </si>
  <si>
    <t>Inpatient Days</t>
  </si>
  <si>
    <t>ALOS</t>
  </si>
  <si>
    <t>Appendix A</t>
  </si>
  <si>
    <t>Case Mix (Using CMS Grouper) FY23</t>
  </si>
  <si>
    <t>Case Mix (Using CMS Grouper) FY24</t>
  </si>
  <si>
    <t>Outpatient Visits</t>
  </si>
  <si>
    <t>ED Visits</t>
  </si>
  <si>
    <t>Appendix B</t>
  </si>
  <si>
    <t>Licensed Beds</t>
  </si>
  <si>
    <t>Available Beds</t>
  </si>
  <si>
    <t>Staffed Beds</t>
  </si>
  <si>
    <t>Percent Occupancy</t>
  </si>
  <si>
    <t>Number of FTEs</t>
  </si>
  <si>
    <t>Can remove</t>
  </si>
  <si>
    <t>GPSR:</t>
  </si>
  <si>
    <t>Appendix C</t>
  </si>
  <si>
    <t>Inpatient</t>
  </si>
  <si>
    <t>Outpatient</t>
  </si>
  <si>
    <t>Total GPSR</t>
  </si>
  <si>
    <t>NPSR:</t>
  </si>
  <si>
    <t>Total NPSR</t>
  </si>
  <si>
    <t>Supplemental Revenue</t>
  </si>
  <si>
    <t>CMADs</t>
  </si>
  <si>
    <t>keep out for now</t>
  </si>
  <si>
    <t>Appendix D</t>
  </si>
  <si>
    <t>Operating Revenue</t>
  </si>
  <si>
    <t>COVID Funding as Operating Revenue</t>
  </si>
  <si>
    <t>Non-Operating Revenue</t>
  </si>
  <si>
    <t>Total Revenue</t>
  </si>
  <si>
    <t>Total Expense</t>
  </si>
  <si>
    <t>Total Surplus</t>
  </si>
  <si>
    <t>Operating Margin</t>
  </si>
  <si>
    <t>Non-Operating Margin</t>
  </si>
  <si>
    <t>Total Margin</t>
  </si>
  <si>
    <t>Appendix E</t>
  </si>
  <si>
    <t>Total Net Assets/Equity</t>
  </si>
  <si>
    <t>Current Ratio</t>
  </si>
  <si>
    <t>Debt Service Coverage</t>
  </si>
  <si>
    <t>Cash Flow to Total Debt</t>
  </si>
  <si>
    <t>leave out for now</t>
  </si>
  <si>
    <t>Equity Financing</t>
  </si>
  <si>
    <t>Avg Age of Plant</t>
  </si>
  <si>
    <t>CHIA Hospital Profile FY24 Data Results</t>
  </si>
  <si>
    <t>UMMH Hospital Only Payor Mix Reporting</t>
  </si>
  <si>
    <t xml:space="preserve">FY23 Inpatient GPSR </t>
  </si>
  <si>
    <t>FY24 Inpatient GPSR Unaudited</t>
  </si>
  <si>
    <t>HealthAliance-Clinton</t>
  </si>
  <si>
    <t>Harrington</t>
  </si>
  <si>
    <t>UMMHC Total</t>
  </si>
  <si>
    <t>Milford</t>
  </si>
  <si>
    <t>Grand Total</t>
  </si>
  <si>
    <t xml:space="preserve">Payer Mix-List </t>
  </si>
  <si>
    <t>·         Commercial</t>
  </si>
  <si>
    <t xml:space="preserve">If possible, by </t>
  </si>
  <si>
    <t>o   Commercial PPO/Indemnity</t>
  </si>
  <si>
    <t>o   Commercial HMO/POS</t>
  </si>
  <si>
    <t xml:space="preserve">·         MassHealth </t>
  </si>
  <si>
    <t>·         Managed Medicaid (Private Medicaid/Medicaid MCOs)</t>
  </si>
  <si>
    <t>·         Commercial Medicare (Private Medicare/Medicare Advantage)</t>
  </si>
  <si>
    <t>·         Medicare FFS</t>
  </si>
  <si>
    <t>·         All other (e.g. HSN, self-pay, TriCare)</t>
  </si>
  <si>
    <t>Total Inpatient GPSR</t>
  </si>
  <si>
    <t xml:space="preserve">FY23 Outpatient GPSR  </t>
  </si>
  <si>
    <t>FY24 Outpatient GPSR Unaudited</t>
  </si>
  <si>
    <t>Total Outpatient GPSR</t>
  </si>
  <si>
    <t xml:space="preserve">FY23  Total GPSR </t>
  </si>
  <si>
    <t>FY24 Total GPSR Unaudited</t>
  </si>
  <si>
    <t xml:space="preserve">FY23 Inpatient Payor Mix   </t>
  </si>
  <si>
    <t>FY24 Inpatient Payor Mix Unaudited</t>
  </si>
  <si>
    <t>Total Inpatient</t>
  </si>
  <si>
    <t xml:space="preserve">FY23  Outpatient Payor Mix  </t>
  </si>
  <si>
    <t>FY24  Outpatient Payor Mix Unaudited</t>
  </si>
  <si>
    <t>Total Outpatient</t>
  </si>
  <si>
    <t xml:space="preserve">FY23  Total Payor Mix   </t>
  </si>
  <si>
    <t>FY24 Total Payor Mix Unaudited</t>
  </si>
  <si>
    <t>Total</t>
  </si>
  <si>
    <t>Cost Report Groupings:</t>
  </si>
  <si>
    <t>FY23 Based on CHIA 403 Cost Report Data</t>
  </si>
  <si>
    <t>FY24 is based on CHIA 403 Cost Report Data that will be filed in FY25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</si>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</sst>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  <numFmt numFmtId="166" formatCode="_(* #,##0.0000_);_(* \(#,##0.0000\);_(* &quot;-&quot;??_);_(@_)"/>
    <numFmt numFmtId="167" formatCode="0.0%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rgb="FF000000"/>
      <name val="Calibri"/>
      <family val="2"/>
    </font>
    <font>
      <b/>
      <sz val="16"/>
      <color rgb="FF000000"/>
      <name val="Calibri"/>
      <family val="2"/>
    </font>
    <font>
      <b/>
      <sz val="11"/>
      <color rgb="FF000000"/>
      <name val="Calibri"/>
      <family val="2"/>
    </font>
    <font>
      <b/>
      <sz val="12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 applyNumberFormat="0" applyBorder="0" applyAlignment="0"/>
    <xf numFmtId="0" fontId="1" fillId="0" borderId="0"/>
    <xf numFmtId="9" fontId="3" fillId="0" borderId="0" applyFont="0" applyFill="0" applyBorder="0" applyAlignment="0" applyProtection="0"/>
  </cellStyleXfs>
  <cellXfs count="43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/>
    </xf>
    <xf numFmtId="164" fontId="0" fillId="0" borderId="0" xfId="1" applyNumberFormat="1" applyFont="1"/>
    <xf numFmtId="0" fontId="2" fillId="0" borderId="1" xfId="0" applyFont="1" applyBorder="1"/>
    <xf numFmtId="37" fontId="0" fillId="0" borderId="0" xfId="0" applyNumberFormat="1"/>
    <xf numFmtId="165" fontId="0" fillId="0" borderId="0" xfId="1" applyNumberFormat="1" applyFont="1"/>
    <xf numFmtId="166" fontId="0" fillId="0" borderId="0" xfId="1" applyNumberFormat="1" applyFont="1" applyFill="1"/>
    <xf numFmtId="167" fontId="0" fillId="0" borderId="0" xfId="2" applyNumberFormat="1" applyFont="1" applyFill="1"/>
    <xf numFmtId="43" fontId="0" fillId="2" borderId="0" xfId="0" applyNumberFormat="1" applyFill="1"/>
    <xf numFmtId="43" fontId="0" fillId="0" borderId="0" xfId="0" applyNumberFormat="1"/>
    <xf numFmtId="0" fontId="2" fillId="0" borderId="2" xfId="0" applyFont="1" applyBorder="1"/>
    <xf numFmtId="37" fontId="2" fillId="0" borderId="2" xfId="0" applyNumberFormat="1" applyFont="1" applyBorder="1"/>
    <xf numFmtId="37" fontId="0" fillId="2" borderId="0" xfId="0" applyNumberFormat="1" applyFill="1" applyAlignment="1">
      <alignment horizontal="center"/>
    </xf>
    <xf numFmtId="167" fontId="0" fillId="0" borderId="0" xfId="2" applyNumberFormat="1" applyFont="1"/>
    <xf numFmtId="164" fontId="0" fillId="0" borderId="0" xfId="1" applyNumberFormat="1" applyFont="1" applyFill="1"/>
    <xf numFmtId="44" fontId="0" fillId="0" borderId="0" xfId="0" applyNumberFormat="1"/>
    <xf numFmtId="0" fontId="4" fillId="0" borderId="0" xfId="3" applyFont="1"/>
    <xf numFmtId="0" fontId="3" fillId="0" borderId="0" xfId="3"/>
    <xf numFmtId="37" fontId="3" fillId="0" borderId="0" xfId="3" applyNumberFormat="1"/>
    <xf numFmtId="0" fontId="5" fillId="3" borderId="1" xfId="3" applyFont="1" applyFill="1" applyBorder="1" applyAlignment="1">
      <alignment horizontal="center" wrapText="1"/>
    </xf>
    <xf numFmtId="0" fontId="5" fillId="4" borderId="1" xfId="3" applyFont="1" applyFill="1" applyBorder="1" applyAlignment="1">
      <alignment horizontal="center" wrapText="1"/>
    </xf>
    <xf numFmtId="0" fontId="6" fillId="0" borderId="6" xfId="4" applyFont="1" applyBorder="1" applyAlignment="1">
      <alignment horizontal="center" vertical="top"/>
    </xf>
    <xf numFmtId="37" fontId="3" fillId="5" borderId="0" xfId="3" applyNumberFormat="1" applyFill="1"/>
    <xf numFmtId="0" fontId="1" fillId="0" borderId="7" xfId="4" applyBorder="1" applyAlignment="1">
      <alignment horizontal="left" vertical="top"/>
    </xf>
    <xf numFmtId="167" fontId="0" fillId="0" borderId="0" xfId="5" applyNumberFormat="1" applyFont="1"/>
    <xf numFmtId="0" fontId="1" fillId="0" borderId="7" xfId="4" applyBorder="1" applyAlignment="1">
      <alignment horizontal="left" vertical="top" wrapText="1"/>
    </xf>
    <xf numFmtId="0" fontId="1" fillId="0" borderId="8" xfId="4" applyBorder="1" applyAlignment="1">
      <alignment horizontal="left" vertical="top"/>
    </xf>
    <xf numFmtId="0" fontId="2" fillId="0" borderId="9" xfId="4" applyFont="1" applyBorder="1" applyAlignment="1">
      <alignment horizontal="left" vertical="top"/>
    </xf>
    <xf numFmtId="37" fontId="5" fillId="0" borderId="2" xfId="3" applyNumberFormat="1" applyFont="1" applyBorder="1"/>
    <xf numFmtId="37" fontId="5" fillId="5" borderId="2" xfId="3" applyNumberFormat="1" applyFont="1" applyFill="1" applyBorder="1"/>
    <xf numFmtId="167" fontId="0" fillId="5" borderId="0" xfId="5" applyNumberFormat="1" applyFont="1" applyFill="1"/>
    <xf numFmtId="167" fontId="5" fillId="0" borderId="2" xfId="5" applyNumberFormat="1" applyFont="1" applyBorder="1"/>
    <xf numFmtId="167" fontId="5" fillId="5" borderId="2" xfId="5" applyNumberFormat="1" applyFont="1" applyFill="1" applyBorder="1"/>
    <xf numFmtId="167" fontId="3" fillId="0" borderId="0" xfId="3" applyNumberFormat="1"/>
    <xf numFmtId="0" fontId="5" fillId="0" borderId="0" xfId="3" applyFont="1"/>
    <xf numFmtId="0" fontId="2" fillId="0" borderId="0" xfId="0" applyFont="1" applyAlignment="1">
      <alignment wrapText="1"/>
    </xf>
    <xf numFmtId="0" fontId="5" fillId="3" borderId="3" xfId="3" applyFont="1" applyFill="1" applyBorder="1" applyAlignment="1">
      <alignment horizontal="center"/>
    </xf>
    <xf numFmtId="0" fontId="5" fillId="3" borderId="4" xfId="3" applyFont="1" applyFill="1" applyBorder="1" applyAlignment="1">
      <alignment horizontal="center"/>
    </xf>
    <xf numFmtId="0" fontId="5" fillId="3" borderId="5" xfId="3" applyFont="1" applyFill="1" applyBorder="1" applyAlignment="1">
      <alignment horizontal="center"/>
    </xf>
    <xf numFmtId="0" fontId="5" fillId="4" borderId="3" xfId="3" applyFont="1" applyFill="1" applyBorder="1" applyAlignment="1">
      <alignment horizontal="center"/>
    </xf>
    <xf numFmtId="0" fontId="5" fillId="4" borderId="4" xfId="3" applyFont="1" applyFill="1" applyBorder="1" applyAlignment="1">
      <alignment horizontal="center"/>
    </xf>
    <xf numFmtId="0" fontId="5" fillId="4" borderId="5" xfId="3" applyFont="1" applyFill="1" applyBorder="1" applyAlignment="1">
      <alignment horizontal="center"/>
    </xf>
  </cellXfs>
  <cellStyles count="6">
    <cellStyle name="Comma" xfId="1" builtinId="3"/>
    <cellStyle name="Normal" xfId="0" builtinId="0"/>
    <cellStyle name="Normal 2" xfId="3" xr:uid="{1F5A03F0-3A4D-4192-AA04-11F81CAAC095}"/>
    <cellStyle name="Normal 6" xfId="4" xr:uid="{94CC97C0-7774-4BE9-9C6D-5A4DCABC1B7E}"/>
    <cellStyle name="Percent" xfId="2" builtinId="5"/>
    <cellStyle name="Percent 2" xfId="5" xr:uid="{16FE44BD-E082-41CA-8CC7-E9BC11C053B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B89F28-4FA5-45C3-9344-2A00E5CDFD59}">
  <sheetPr>
    <tabColor theme="5" tint="0.59999389629810485"/>
  </sheetPr>
  <dimension ref="A1:U104"/>
  <sheetViews>
    <sheetView showGridLines="0" tabSelected="1" zoomScaleNormal="100" workbookViewId="0">
      <pane xSplit="1" ySplit="7" topLeftCell="B29" activePane="bottomRight" state="frozen"/>
      <selection activeCell="C21" sqref="C21"/>
      <selection pane="topRight" activeCell="C21" sqref="C21"/>
      <selection pane="bottomLeft" activeCell="C21" sqref="C21"/>
      <selection pane="bottomRight" activeCell="B6" sqref="B6:H6"/>
    </sheetView>
  </sheetViews>
  <sheetFormatPr defaultColWidth="9.1796875" defaultRowHeight="14.5" x14ac:dyDescent="0.35"/>
  <cols>
    <col min="1" max="1" width="35.81640625" style="18" customWidth="1"/>
    <col min="2" max="2" width="13.54296875" style="18" customWidth="1"/>
    <col min="3" max="3" width="15.26953125" style="18" customWidth="1"/>
    <col min="4" max="4" width="11.81640625" style="18" bestFit="1" customWidth="1"/>
    <col min="5" max="5" width="12.453125" style="18" customWidth="1"/>
    <col min="6" max="6" width="13.54296875" style="18" bestFit="1" customWidth="1"/>
    <col min="7" max="7" width="14.54296875" style="18" customWidth="1"/>
    <col min="8" max="8" width="13.54296875" style="18" bestFit="1" customWidth="1"/>
    <col min="9" max="9" width="1.453125" style="18" customWidth="1"/>
    <col min="10" max="10" width="13.54296875" style="18" customWidth="1"/>
    <col min="11" max="11" width="15.26953125" style="18" customWidth="1"/>
    <col min="12" max="12" width="11.81640625" style="18" bestFit="1" customWidth="1"/>
    <col min="13" max="13" width="12.453125" style="18" customWidth="1"/>
    <col min="14" max="14" width="14.54296875" style="18" bestFit="1" customWidth="1"/>
    <col min="15" max="15" width="14.54296875" style="18" customWidth="1"/>
    <col min="16" max="16" width="14.54296875" style="18" bestFit="1" customWidth="1"/>
    <col min="17" max="17" width="9.1796875" style="18"/>
    <col min="18" max="18" width="11.81640625" style="18" bestFit="1" customWidth="1"/>
    <col min="19" max="19" width="10.81640625" style="18" bestFit="1" customWidth="1"/>
    <col min="20" max="21" width="11.81640625" style="18" bestFit="1" customWidth="1"/>
    <col min="22" max="16384" width="9.1796875" style="18"/>
  </cols>
  <sheetData>
    <row r="1" spans="1:21" ht="21" x14ac:dyDescent="0.5">
      <c r="A1" s="17" t="s">
        <v>97</v>
      </c>
    </row>
    <row r="2" spans="1:21" ht="21" x14ac:dyDescent="0.5">
      <c r="A2" s="17" t="s">
        <v>131</v>
      </c>
    </row>
    <row r="3" spans="1:21" ht="21" x14ac:dyDescent="0.5">
      <c r="A3" s="17" t="s">
        <v>132</v>
      </c>
    </row>
    <row r="4" spans="1:21" ht="21" x14ac:dyDescent="0.5">
      <c r="A4" s="17"/>
    </row>
    <row r="6" spans="1:21" x14ac:dyDescent="0.35">
      <c r="B6" s="37" t="s">
        <v>98</v>
      </c>
      <c r="C6" s="38"/>
      <c r="D6" s="38"/>
      <c r="E6" s="38"/>
      <c r="F6" s="38"/>
      <c r="G6" s="38"/>
      <c r="H6" s="39"/>
      <c r="J6" s="40" t="s">
        <v>99</v>
      </c>
      <c r="K6" s="41"/>
      <c r="L6" s="41"/>
      <c r="M6" s="41"/>
      <c r="N6" s="41"/>
      <c r="O6" s="41"/>
      <c r="P6" s="42"/>
    </row>
    <row r="7" spans="1:21" ht="29.5" thickBot="1" x14ac:dyDescent="0.4">
      <c r="B7" s="20" t="s">
        <v>50</v>
      </c>
      <c r="C7" s="20" t="s">
        <v>100</v>
      </c>
      <c r="D7" s="20" t="s">
        <v>101</v>
      </c>
      <c r="E7" s="20" t="s">
        <v>35</v>
      </c>
      <c r="F7" s="20" t="s">
        <v>102</v>
      </c>
      <c r="G7" s="20" t="s">
        <v>103</v>
      </c>
      <c r="H7" s="20" t="s">
        <v>104</v>
      </c>
      <c r="J7" s="21" t="s">
        <v>50</v>
      </c>
      <c r="K7" s="21" t="s">
        <v>100</v>
      </c>
      <c r="L7" s="21" t="s">
        <v>101</v>
      </c>
      <c r="M7" s="21" t="s">
        <v>35</v>
      </c>
      <c r="N7" s="21" t="s">
        <v>102</v>
      </c>
      <c r="O7" s="21" t="s">
        <v>103</v>
      </c>
      <c r="P7" s="21" t="s">
        <v>104</v>
      </c>
    </row>
    <row r="8" spans="1:21" ht="16" x14ac:dyDescent="0.35">
      <c r="A8" s="22" t="s">
        <v>105</v>
      </c>
      <c r="B8" s="19"/>
      <c r="C8" s="19"/>
      <c r="D8" s="19"/>
      <c r="E8" s="19"/>
      <c r="F8" s="23"/>
      <c r="G8" s="19"/>
      <c r="H8" s="23"/>
      <c r="J8" s="19"/>
      <c r="K8" s="19"/>
      <c r="L8" s="19"/>
      <c r="M8" s="19"/>
      <c r="N8" s="23"/>
      <c r="O8" s="19"/>
      <c r="P8" s="23"/>
    </row>
    <row r="9" spans="1:21" x14ac:dyDescent="0.35">
      <c r="A9" s="24" t="s">
        <v>106</v>
      </c>
      <c r="B9" s="19"/>
      <c r="C9" s="19"/>
      <c r="D9" s="19"/>
      <c r="E9" s="19"/>
      <c r="F9" s="23"/>
      <c r="G9" s="19"/>
      <c r="H9" s="23"/>
      <c r="J9" s="19"/>
      <c r="K9" s="19"/>
      <c r="L9" s="19"/>
      <c r="M9" s="19"/>
      <c r="N9" s="23"/>
      <c r="O9" s="19"/>
      <c r="P9" s="23"/>
    </row>
    <row r="10" spans="1:21" x14ac:dyDescent="0.35">
      <c r="A10" s="24" t="s">
        <v>107</v>
      </c>
      <c r="B10" s="19"/>
      <c r="C10" s="19"/>
      <c r="D10" s="19"/>
      <c r="E10" s="19"/>
      <c r="F10" s="23"/>
      <c r="G10" s="19"/>
      <c r="H10" s="23"/>
      <c r="J10" s="19"/>
      <c r="K10" s="19"/>
      <c r="L10" s="19"/>
      <c r="M10" s="19"/>
      <c r="N10" s="23"/>
      <c r="O10" s="19"/>
      <c r="P10" s="23"/>
    </row>
    <row r="11" spans="1:21" x14ac:dyDescent="0.35">
      <c r="A11" s="24" t="s">
        <v>108</v>
      </c>
      <c r="B11" s="19">
        <v>41861421</v>
      </c>
      <c r="C11" s="19">
        <v>1847091</v>
      </c>
      <c r="D11" s="19">
        <v>1737926</v>
      </c>
      <c r="E11" s="19">
        <f>463072-31403</f>
        <v>431669</v>
      </c>
      <c r="F11" s="23">
        <f t="shared" ref="F11:F17" si="0">SUM(B11:E11)</f>
        <v>45878107</v>
      </c>
      <c r="G11" s="19">
        <v>18362490</v>
      </c>
      <c r="H11" s="23">
        <f>G11+F11</f>
        <v>64240597</v>
      </c>
      <c r="J11" s="19">
        <v>39616853</v>
      </c>
      <c r="K11" s="19">
        <v>2844978</v>
      </c>
      <c r="L11" s="19">
        <v>329531</v>
      </c>
      <c r="M11" s="19">
        <v>501078</v>
      </c>
      <c r="N11" s="23">
        <f t="shared" ref="N11:N17" si="1">SUM(J11:M11)</f>
        <v>43292440</v>
      </c>
      <c r="O11" s="19">
        <v>13899095</v>
      </c>
      <c r="P11" s="23">
        <f>O11+N11</f>
        <v>57191535</v>
      </c>
      <c r="R11" s="19"/>
      <c r="S11" s="19"/>
      <c r="T11" s="19"/>
      <c r="U11" s="19"/>
    </row>
    <row r="12" spans="1:21" x14ac:dyDescent="0.35">
      <c r="A12" s="24" t="s">
        <v>109</v>
      </c>
      <c r="B12" s="19">
        <f>373063460+144328152+787038+62635333+92724972-181000292</f>
        <v>492538663</v>
      </c>
      <c r="C12" s="19">
        <f>18075563+4500442+7525834+2928276</f>
        <v>33030115</v>
      </c>
      <c r="D12" s="19">
        <f>6166120+3500423+418209+680881+800015</f>
        <v>11565648</v>
      </c>
      <c r="E12" s="19">
        <f>5475755+3353600+1664430+1858908-837696</f>
        <v>11514997</v>
      </c>
      <c r="F12" s="23">
        <f t="shared" si="0"/>
        <v>548649423</v>
      </c>
      <c r="G12" s="19">
        <v>17959497</v>
      </c>
      <c r="H12" s="23">
        <f t="shared" ref="H12:H17" si="2">G12+F12</f>
        <v>566608920</v>
      </c>
      <c r="J12" s="19">
        <v>680202800</v>
      </c>
      <c r="K12" s="19">
        <v>35435498</v>
      </c>
      <c r="L12" s="19">
        <v>15569132</v>
      </c>
      <c r="M12" s="19">
        <v>12488605</v>
      </c>
      <c r="N12" s="23">
        <f t="shared" si="1"/>
        <v>743696035</v>
      </c>
      <c r="O12" s="19">
        <v>14266846</v>
      </c>
      <c r="P12" s="23">
        <f t="shared" ref="P12:P17" si="3">O12+N12</f>
        <v>757962881</v>
      </c>
      <c r="R12" s="25"/>
      <c r="S12" s="25"/>
      <c r="T12" s="25"/>
      <c r="U12" s="25"/>
    </row>
    <row r="13" spans="1:21" x14ac:dyDescent="0.35">
      <c r="A13" s="24" t="s">
        <v>110</v>
      </c>
      <c r="B13" s="19">
        <v>521115726</v>
      </c>
      <c r="C13" s="19">
        <v>33711093</v>
      </c>
      <c r="D13" s="19">
        <v>6539135</v>
      </c>
      <c r="E13" s="19">
        <f>13983309-948276</f>
        <v>13035033</v>
      </c>
      <c r="F13" s="23">
        <f t="shared" si="0"/>
        <v>574400987</v>
      </c>
      <c r="G13" s="19">
        <v>12538537</v>
      </c>
      <c r="H13" s="23">
        <f t="shared" si="2"/>
        <v>586939524</v>
      </c>
      <c r="J13" s="19">
        <v>455501058</v>
      </c>
      <c r="K13" s="19">
        <v>27116890</v>
      </c>
      <c r="L13" s="19">
        <v>11219430</v>
      </c>
      <c r="M13" s="19">
        <v>11293886</v>
      </c>
      <c r="N13" s="23">
        <f t="shared" si="1"/>
        <v>505131264</v>
      </c>
      <c r="O13" s="19">
        <v>9383845</v>
      </c>
      <c r="P13" s="23">
        <f t="shared" si="3"/>
        <v>514515109</v>
      </c>
    </row>
    <row r="14" spans="1:21" ht="29" x14ac:dyDescent="0.35">
      <c r="A14" s="26" t="s">
        <v>111</v>
      </c>
      <c r="B14" s="19">
        <f>228655732+35788661</f>
        <v>264444393</v>
      </c>
      <c r="C14" s="19">
        <f>17631243+1929716</f>
        <v>19560959</v>
      </c>
      <c r="D14" s="19">
        <f>20379872+1021543</f>
        <v>21401415</v>
      </c>
      <c r="E14" s="19">
        <f>9752967+1288456-748772</f>
        <v>10292651</v>
      </c>
      <c r="F14" s="23">
        <f t="shared" si="0"/>
        <v>315699418</v>
      </c>
      <c r="G14" s="19">
        <f>7451946+1556290</f>
        <v>9008236</v>
      </c>
      <c r="H14" s="23">
        <f t="shared" si="2"/>
        <v>324707654</v>
      </c>
      <c r="J14" s="19">
        <v>298907965</v>
      </c>
      <c r="K14" s="19">
        <v>20381420</v>
      </c>
      <c r="L14" s="19">
        <v>19566332</v>
      </c>
      <c r="M14" s="19">
        <v>12665868</v>
      </c>
      <c r="N14" s="23">
        <f t="shared" si="1"/>
        <v>351521585</v>
      </c>
      <c r="O14" s="19">
        <v>9804664</v>
      </c>
      <c r="P14" s="23">
        <f t="shared" si="3"/>
        <v>361326249</v>
      </c>
    </row>
    <row r="15" spans="1:21" ht="29" x14ac:dyDescent="0.35">
      <c r="A15" s="26" t="s">
        <v>112</v>
      </c>
      <c r="B15" s="19">
        <v>645037543</v>
      </c>
      <c r="C15" s="19">
        <f>85394903-8220731</f>
        <v>77174172</v>
      </c>
      <c r="D15" s="19">
        <f>24474381+9344379</f>
        <v>33818760</v>
      </c>
      <c r="E15" s="19">
        <f>25679582-1741457</f>
        <v>23938125</v>
      </c>
      <c r="F15" s="23">
        <f t="shared" si="0"/>
        <v>779968600</v>
      </c>
      <c r="G15" s="19">
        <v>40921762</v>
      </c>
      <c r="H15" s="23">
        <f t="shared" si="2"/>
        <v>820890362</v>
      </c>
      <c r="J15" s="19">
        <v>672887612</v>
      </c>
      <c r="K15" s="19">
        <v>94457296</v>
      </c>
      <c r="L15" s="19">
        <v>47477820</v>
      </c>
      <c r="M15" s="19">
        <v>30065453</v>
      </c>
      <c r="N15" s="23">
        <f t="shared" si="1"/>
        <v>844888181</v>
      </c>
      <c r="O15" s="19">
        <v>33733471</v>
      </c>
      <c r="P15" s="23">
        <f t="shared" si="3"/>
        <v>878621652</v>
      </c>
    </row>
    <row r="16" spans="1:21" x14ac:dyDescent="0.35">
      <c r="A16" s="24" t="s">
        <v>113</v>
      </c>
      <c r="B16" s="19">
        <v>901214360</v>
      </c>
      <c r="C16" s="19">
        <f>97811515-8220731</f>
        <v>89590784</v>
      </c>
      <c r="D16" s="19">
        <v>36647515</v>
      </c>
      <c r="E16" s="19">
        <f>41257677-2797882</f>
        <v>38459795</v>
      </c>
      <c r="F16" s="23">
        <f t="shared" si="0"/>
        <v>1065912454</v>
      </c>
      <c r="G16" s="19">
        <v>79404158</v>
      </c>
      <c r="H16" s="23">
        <f t="shared" si="2"/>
        <v>1145316612</v>
      </c>
      <c r="J16" s="19">
        <v>872356191</v>
      </c>
      <c r="K16" s="19">
        <v>112922805</v>
      </c>
      <c r="L16" s="19">
        <v>51022426</v>
      </c>
      <c r="M16" s="19">
        <v>45303168</v>
      </c>
      <c r="N16" s="23">
        <f t="shared" si="1"/>
        <v>1081604590</v>
      </c>
      <c r="O16" s="19">
        <v>63871848</v>
      </c>
      <c r="P16" s="23">
        <f t="shared" si="3"/>
        <v>1145476438</v>
      </c>
    </row>
    <row r="17" spans="1:21" x14ac:dyDescent="0.35">
      <c r="A17" s="27" t="s">
        <v>114</v>
      </c>
      <c r="B17" s="19">
        <f>2527210+8970931+63734263+9700430</f>
        <v>84932834</v>
      </c>
      <c r="C17" s="19">
        <f>206480-132499+1621471+4785938</f>
        <v>6481390</v>
      </c>
      <c r="D17" s="19">
        <f>686851+3100621+614305</f>
        <v>4401777</v>
      </c>
      <c r="E17" s="19">
        <f>107418+738558+181898-69705</f>
        <v>958169</v>
      </c>
      <c r="F17" s="23">
        <f t="shared" si="0"/>
        <v>96774170</v>
      </c>
      <c r="G17" s="19">
        <f>252104+902251+892736+367563</f>
        <v>2414654</v>
      </c>
      <c r="H17" s="23">
        <f t="shared" si="2"/>
        <v>99188824</v>
      </c>
      <c r="J17" s="19">
        <f>12336743+2481067+98111859+52950501+8914827</f>
        <v>174794997</v>
      </c>
      <c r="K17" s="19">
        <f>292837+772842+13080960+3124971+1783603</f>
        <v>19055213</v>
      </c>
      <c r="L17" s="19">
        <f>45203+45852+2573907+1027694+713502</f>
        <v>4406158</v>
      </c>
      <c r="M17" s="19">
        <f>285809+1742910+796079+1280131</f>
        <v>4104929</v>
      </c>
      <c r="N17" s="23">
        <f t="shared" si="1"/>
        <v>202361297</v>
      </c>
      <c r="O17" s="19">
        <v>2606591</v>
      </c>
      <c r="P17" s="23">
        <f t="shared" si="3"/>
        <v>204967888</v>
      </c>
    </row>
    <row r="18" spans="1:21" ht="15" thickBot="1" x14ac:dyDescent="0.4">
      <c r="A18" s="28" t="s">
        <v>115</v>
      </c>
      <c r="B18" s="29">
        <f t="shared" ref="B18:H18" si="4">SUM(B9:B17)</f>
        <v>2951144940</v>
      </c>
      <c r="C18" s="29">
        <f t="shared" si="4"/>
        <v>261395604</v>
      </c>
      <c r="D18" s="29">
        <f>SUM(D9:D17)</f>
        <v>116112176</v>
      </c>
      <c r="E18" s="29">
        <f t="shared" si="4"/>
        <v>98630439</v>
      </c>
      <c r="F18" s="30">
        <f t="shared" si="4"/>
        <v>3427283159</v>
      </c>
      <c r="G18" s="29">
        <f t="shared" si="4"/>
        <v>180609334</v>
      </c>
      <c r="H18" s="30">
        <f t="shared" si="4"/>
        <v>3607892493</v>
      </c>
      <c r="J18" s="29">
        <f t="shared" ref="J18:P18" si="5">SUM(J9:J17)</f>
        <v>3194267476</v>
      </c>
      <c r="K18" s="29">
        <f t="shared" si="5"/>
        <v>312214100</v>
      </c>
      <c r="L18" s="29">
        <f t="shared" si="5"/>
        <v>149590829</v>
      </c>
      <c r="M18" s="29">
        <f t="shared" si="5"/>
        <v>116422987</v>
      </c>
      <c r="N18" s="30">
        <f t="shared" si="5"/>
        <v>3772495392</v>
      </c>
      <c r="O18" s="29">
        <f t="shared" si="5"/>
        <v>147566360</v>
      </c>
      <c r="P18" s="30">
        <f t="shared" si="5"/>
        <v>3920061752</v>
      </c>
    </row>
    <row r="19" spans="1:21" ht="15" thickTop="1" x14ac:dyDescent="0.35">
      <c r="B19" s="19"/>
      <c r="C19" s="19"/>
      <c r="D19" s="19"/>
      <c r="E19" s="19"/>
      <c r="F19" s="19"/>
      <c r="G19" s="19"/>
      <c r="H19" s="19"/>
      <c r="J19" s="19"/>
      <c r="K19" s="19"/>
      <c r="L19" s="19"/>
      <c r="M19" s="19"/>
      <c r="N19" s="19"/>
      <c r="O19" s="19"/>
      <c r="P19" s="19"/>
    </row>
    <row r="21" spans="1:21" x14ac:dyDescent="0.35">
      <c r="B21" s="37" t="s">
        <v>116</v>
      </c>
      <c r="C21" s="38"/>
      <c r="D21" s="38"/>
      <c r="E21" s="38"/>
      <c r="F21" s="38"/>
      <c r="G21" s="38"/>
      <c r="H21" s="39"/>
      <c r="J21" s="40" t="s">
        <v>117</v>
      </c>
      <c r="K21" s="41"/>
      <c r="L21" s="41"/>
      <c r="M21" s="41"/>
      <c r="N21" s="41"/>
      <c r="O21" s="41"/>
      <c r="P21" s="42"/>
    </row>
    <row r="22" spans="1:21" ht="29.5" thickBot="1" x14ac:dyDescent="0.4">
      <c r="B22" s="20" t="s">
        <v>50</v>
      </c>
      <c r="C22" s="20" t="s">
        <v>100</v>
      </c>
      <c r="D22" s="20" t="s">
        <v>101</v>
      </c>
      <c r="E22" s="20" t="s">
        <v>35</v>
      </c>
      <c r="F22" s="20" t="s">
        <v>102</v>
      </c>
      <c r="G22" s="20" t="s">
        <v>103</v>
      </c>
      <c r="H22" s="20" t="s">
        <v>104</v>
      </c>
      <c r="J22" s="21" t="s">
        <v>50</v>
      </c>
      <c r="K22" s="21" t="s">
        <v>100</v>
      </c>
      <c r="L22" s="21" t="s">
        <v>101</v>
      </c>
      <c r="M22" s="21" t="s">
        <v>35</v>
      </c>
      <c r="N22" s="21" t="s">
        <v>102</v>
      </c>
      <c r="O22" s="21" t="s">
        <v>103</v>
      </c>
      <c r="P22" s="21" t="s">
        <v>104</v>
      </c>
    </row>
    <row r="23" spans="1:21" ht="16" x14ac:dyDescent="0.35">
      <c r="A23" s="22" t="s">
        <v>105</v>
      </c>
      <c r="B23" s="19"/>
      <c r="C23" s="19"/>
      <c r="D23" s="19"/>
      <c r="E23" s="19"/>
      <c r="F23" s="23"/>
      <c r="G23" s="19"/>
      <c r="H23" s="23"/>
      <c r="J23" s="19"/>
      <c r="K23" s="19"/>
      <c r="L23" s="19"/>
      <c r="M23" s="19"/>
      <c r="N23" s="23"/>
      <c r="O23" s="19"/>
      <c r="P23" s="23"/>
    </row>
    <row r="24" spans="1:21" x14ac:dyDescent="0.35">
      <c r="A24" s="24" t="s">
        <v>106</v>
      </c>
      <c r="B24" s="19"/>
      <c r="C24" s="19"/>
      <c r="D24" s="19"/>
      <c r="E24" s="19"/>
      <c r="F24" s="23"/>
      <c r="G24" s="19"/>
      <c r="H24" s="23"/>
      <c r="J24" s="19"/>
      <c r="K24" s="19"/>
      <c r="L24" s="19"/>
      <c r="M24" s="19"/>
      <c r="N24" s="23"/>
      <c r="O24" s="19"/>
      <c r="P24" s="23"/>
    </row>
    <row r="25" spans="1:21" x14ac:dyDescent="0.35">
      <c r="A25" s="24" t="s">
        <v>107</v>
      </c>
      <c r="B25" s="19"/>
      <c r="C25" s="19"/>
      <c r="D25" s="19"/>
      <c r="E25" s="19"/>
      <c r="F25" s="23"/>
      <c r="G25" s="19"/>
      <c r="H25" s="23"/>
      <c r="J25" s="19"/>
      <c r="K25" s="19"/>
      <c r="L25" s="19"/>
      <c r="M25" s="19"/>
      <c r="N25" s="23"/>
      <c r="O25" s="19"/>
      <c r="P25" s="23"/>
    </row>
    <row r="26" spans="1:21" x14ac:dyDescent="0.35">
      <c r="A26" s="24" t="s">
        <v>108</v>
      </c>
      <c r="B26" s="19">
        <v>337551290</v>
      </c>
      <c r="C26" s="19">
        <v>5370590</v>
      </c>
      <c r="D26" s="19">
        <v>12910718</v>
      </c>
      <c r="E26" s="19">
        <f>3402540+87273</f>
        <v>3489813</v>
      </c>
      <c r="F26" s="23">
        <f t="shared" ref="F26:F32" si="6">SUM(B26:E26)</f>
        <v>359322411</v>
      </c>
      <c r="G26" s="19">
        <v>101104472</v>
      </c>
      <c r="H26" s="23">
        <f>G26+F26</f>
        <v>460426883</v>
      </c>
      <c r="J26" s="19">
        <v>408795411</v>
      </c>
      <c r="K26" s="19">
        <f>5812056</f>
        <v>5812056</v>
      </c>
      <c r="L26" s="19">
        <v>4052179</v>
      </c>
      <c r="M26" s="19">
        <v>3308786</v>
      </c>
      <c r="N26" s="23">
        <f t="shared" ref="N26:N32" si="7">SUM(J26:M26)</f>
        <v>421968432</v>
      </c>
      <c r="O26" s="19">
        <v>102172404</v>
      </c>
      <c r="P26" s="23">
        <f>O26+N26</f>
        <v>524140836</v>
      </c>
      <c r="R26" s="19"/>
      <c r="S26" s="19"/>
      <c r="T26" s="19"/>
      <c r="U26" s="19"/>
    </row>
    <row r="27" spans="1:21" x14ac:dyDescent="0.35">
      <c r="A27" s="24" t="s">
        <v>109</v>
      </c>
      <c r="B27" s="19">
        <f>645247128+224681361+4687385+116069105+165261184+181000292</f>
        <v>1336946455</v>
      </c>
      <c r="C27" s="19">
        <f>82862687+26483039+3184+16729740+24789127</f>
        <v>150867777</v>
      </c>
      <c r="D27" s="19">
        <f>50877294+28306081+2205186+5062402+8825839</f>
        <v>95276802</v>
      </c>
      <c r="E27" s="19">
        <f>45987310+19042957+10775+12747867+12436437+2314236</f>
        <v>92539582</v>
      </c>
      <c r="F27" s="23">
        <f t="shared" si="6"/>
        <v>1675630616</v>
      </c>
      <c r="G27" s="19">
        <v>109707884</v>
      </c>
      <c r="H27" s="23">
        <f t="shared" ref="H27:H32" si="8">G27+F27</f>
        <v>1785338500</v>
      </c>
      <c r="J27" s="19">
        <v>1357552334</v>
      </c>
      <c r="K27" s="19">
        <v>174978976</v>
      </c>
      <c r="L27" s="19">
        <v>124639221</v>
      </c>
      <c r="M27" s="19">
        <v>93493005</v>
      </c>
      <c r="N27" s="23">
        <f t="shared" si="7"/>
        <v>1750663536</v>
      </c>
      <c r="O27" s="19">
        <v>103514010</v>
      </c>
      <c r="P27" s="23">
        <f t="shared" ref="P27:P32" si="9">O27+N27</f>
        <v>1854177546</v>
      </c>
      <c r="R27" s="25"/>
      <c r="S27" s="25"/>
      <c r="T27" s="25"/>
      <c r="U27" s="25"/>
    </row>
    <row r="28" spans="1:21" x14ac:dyDescent="0.35">
      <c r="A28" s="24" t="s">
        <v>110</v>
      </c>
      <c r="B28" s="19">
        <v>666082970</v>
      </c>
      <c r="C28" s="19">
        <v>66555070</v>
      </c>
      <c r="D28" s="19">
        <v>24018061</v>
      </c>
      <c r="E28" s="19">
        <f>39071890+1002175</f>
        <v>40074065</v>
      </c>
      <c r="F28" s="23">
        <f t="shared" si="6"/>
        <v>796730166</v>
      </c>
      <c r="G28" s="19">
        <v>40748125</v>
      </c>
      <c r="H28" s="23">
        <f t="shared" si="8"/>
        <v>837478291</v>
      </c>
      <c r="J28" s="19">
        <v>604932706</v>
      </c>
      <c r="K28" s="19">
        <v>67535825</v>
      </c>
      <c r="L28" s="19">
        <v>27457338</v>
      </c>
      <c r="M28" s="19">
        <v>34277124</v>
      </c>
      <c r="N28" s="23">
        <f t="shared" si="7"/>
        <v>734202993</v>
      </c>
      <c r="O28" s="19">
        <v>27154020</v>
      </c>
      <c r="P28" s="23">
        <f t="shared" si="9"/>
        <v>761357013</v>
      </c>
    </row>
    <row r="29" spans="1:21" ht="29" x14ac:dyDescent="0.35">
      <c r="A29" s="26" t="s">
        <v>111</v>
      </c>
      <c r="B29" s="19">
        <f>277197914+71674679</f>
        <v>348872593</v>
      </c>
      <c r="C29" s="19">
        <f>49604967+10171124</f>
        <v>59776091</v>
      </c>
      <c r="D29" s="19">
        <f>64488772+7618835</f>
        <v>72107607</v>
      </c>
      <c r="E29" s="19">
        <f>21749324+4941353+684603</f>
        <v>27375280</v>
      </c>
      <c r="F29" s="23">
        <f t="shared" si="6"/>
        <v>508131571</v>
      </c>
      <c r="G29" s="19">
        <f>24063543+10133612</f>
        <v>34197155</v>
      </c>
      <c r="H29" s="23">
        <f t="shared" si="8"/>
        <v>542328726</v>
      </c>
      <c r="J29" s="19">
        <v>473244760</v>
      </c>
      <c r="K29" s="19">
        <v>62032161</v>
      </c>
      <c r="L29" s="19">
        <v>64423732</v>
      </c>
      <c r="M29" s="19">
        <v>30381628</v>
      </c>
      <c r="N29" s="23">
        <f t="shared" si="7"/>
        <v>630082281</v>
      </c>
      <c r="O29" s="19">
        <v>44577689</v>
      </c>
      <c r="P29" s="23">
        <f t="shared" si="9"/>
        <v>674659970</v>
      </c>
    </row>
    <row r="30" spans="1:21" ht="29" x14ac:dyDescent="0.35">
      <c r="A30" s="26" t="s">
        <v>112</v>
      </c>
      <c r="B30" s="19">
        <v>584352609</v>
      </c>
      <c r="C30" s="19">
        <f>8220731+114168802</f>
        <v>122389533</v>
      </c>
      <c r="D30" s="19">
        <f>59830508+23353050</f>
        <v>83183558</v>
      </c>
      <c r="E30" s="19">
        <f>48408237+1241648</f>
        <v>49649885</v>
      </c>
      <c r="F30" s="23">
        <f t="shared" si="6"/>
        <v>839575585</v>
      </c>
      <c r="G30" s="19">
        <v>60220251</v>
      </c>
      <c r="H30" s="23">
        <f t="shared" si="8"/>
        <v>899795836</v>
      </c>
      <c r="J30" s="19">
        <v>770966567</v>
      </c>
      <c r="K30" s="19">
        <v>147649157</v>
      </c>
      <c r="L30" s="19">
        <v>128873481</v>
      </c>
      <c r="M30" s="19">
        <v>55756331</v>
      </c>
      <c r="N30" s="23">
        <f t="shared" si="7"/>
        <v>1103245536</v>
      </c>
      <c r="O30" s="19">
        <v>71224728</v>
      </c>
      <c r="P30" s="23">
        <f t="shared" si="9"/>
        <v>1174470264</v>
      </c>
    </row>
    <row r="31" spans="1:21" x14ac:dyDescent="0.35">
      <c r="A31" s="24" t="s">
        <v>113</v>
      </c>
      <c r="B31" s="19">
        <v>1016310910</v>
      </c>
      <c r="C31" s="19">
        <f>8220731+137543308</f>
        <v>145764039</v>
      </c>
      <c r="D31" s="19">
        <v>73913008</v>
      </c>
      <c r="E31" s="19">
        <f>57839304+1483550</f>
        <v>59322854</v>
      </c>
      <c r="F31" s="23">
        <f t="shared" si="6"/>
        <v>1295310811</v>
      </c>
      <c r="G31" s="19">
        <v>105751250</v>
      </c>
      <c r="H31" s="23">
        <f t="shared" si="8"/>
        <v>1401062061</v>
      </c>
      <c r="J31" s="19">
        <v>1232304508</v>
      </c>
      <c r="K31" s="19">
        <v>170631956</v>
      </c>
      <c r="L31" s="19">
        <v>111370633</v>
      </c>
      <c r="M31" s="19">
        <v>61772492</v>
      </c>
      <c r="N31" s="23">
        <f t="shared" si="7"/>
        <v>1576079589</v>
      </c>
      <c r="O31" s="19">
        <v>115478435</v>
      </c>
      <c r="P31" s="23">
        <f t="shared" si="9"/>
        <v>1691558024</v>
      </c>
    </row>
    <row r="32" spans="1:21" x14ac:dyDescent="0.35">
      <c r="A32" s="27" t="s">
        <v>114</v>
      </c>
      <c r="B32" s="19">
        <f>12495692+40024116+93742299+14579412</f>
        <v>160841519</v>
      </c>
      <c r="C32" s="19">
        <f>1432584+4635511+15028546+3254820</f>
        <v>24351461</v>
      </c>
      <c r="D32" s="19">
        <f>4682049+4109451+6665955</f>
        <v>15457455</v>
      </c>
      <c r="E32" s="19">
        <f>3267782+3319899+3664710+3849467+361706</f>
        <v>14463564</v>
      </c>
      <c r="F32" s="23">
        <f t="shared" si="6"/>
        <v>215113999</v>
      </c>
      <c r="G32" s="19">
        <f>3163503+4751571+2255407+1362153</f>
        <v>11532634</v>
      </c>
      <c r="H32" s="23">
        <f t="shared" si="8"/>
        <v>226646633</v>
      </c>
      <c r="J32" s="19">
        <f>17145416+46762178+114309299+124433668+33078585</f>
        <v>335729146</v>
      </c>
      <c r="K32" s="19">
        <f>4177478+3210302+21246692+16341242+5472991</f>
        <v>50448705</v>
      </c>
      <c r="L32" s="19">
        <f>4004457+3063084+13517156+12433367+2135259</f>
        <v>35153323</v>
      </c>
      <c r="M32" s="19">
        <f>3113541+5047281+4659381+8466177+4758377</f>
        <v>26044757</v>
      </c>
      <c r="N32" s="23">
        <f t="shared" si="7"/>
        <v>447375931</v>
      </c>
      <c r="O32" s="19">
        <v>14325132</v>
      </c>
      <c r="P32" s="23">
        <f t="shared" si="9"/>
        <v>461701063</v>
      </c>
    </row>
    <row r="33" spans="1:21" ht="15" thickBot="1" x14ac:dyDescent="0.4">
      <c r="A33" s="28" t="s">
        <v>118</v>
      </c>
      <c r="B33" s="29">
        <f t="shared" ref="B33:H33" si="10">SUM(B24:B32)</f>
        <v>4450958346</v>
      </c>
      <c r="C33" s="29">
        <f t="shared" si="10"/>
        <v>575074561</v>
      </c>
      <c r="D33" s="29">
        <f>SUM(D24:D32)</f>
        <v>376867209</v>
      </c>
      <c r="E33" s="29">
        <f t="shared" si="10"/>
        <v>286915043</v>
      </c>
      <c r="F33" s="30">
        <f t="shared" si="10"/>
        <v>5689815159</v>
      </c>
      <c r="G33" s="29">
        <f t="shared" si="10"/>
        <v>463261771</v>
      </c>
      <c r="H33" s="30">
        <f t="shared" si="10"/>
        <v>6153076930</v>
      </c>
      <c r="J33" s="29">
        <f t="shared" ref="J33:P33" si="11">SUM(J24:J32)</f>
        <v>5183525432</v>
      </c>
      <c r="K33" s="29">
        <f t="shared" si="11"/>
        <v>679088836</v>
      </c>
      <c r="L33" s="29">
        <f t="shared" si="11"/>
        <v>495969907</v>
      </c>
      <c r="M33" s="29">
        <f t="shared" si="11"/>
        <v>305034123</v>
      </c>
      <c r="N33" s="30">
        <f t="shared" si="11"/>
        <v>6663618298</v>
      </c>
      <c r="O33" s="29">
        <f t="shared" si="11"/>
        <v>478446418</v>
      </c>
      <c r="P33" s="30">
        <f t="shared" si="11"/>
        <v>7142064716</v>
      </c>
    </row>
    <row r="34" spans="1:21" ht="15" thickTop="1" x14ac:dyDescent="0.35">
      <c r="B34" s="19"/>
      <c r="C34" s="19"/>
      <c r="D34" s="19"/>
      <c r="E34" s="19"/>
      <c r="F34" s="19"/>
      <c r="G34" s="19"/>
      <c r="H34" s="19"/>
      <c r="J34" s="19"/>
      <c r="K34" s="19"/>
      <c r="L34" s="19"/>
      <c r="M34" s="19"/>
      <c r="N34" s="19"/>
      <c r="O34" s="19"/>
      <c r="P34" s="19"/>
    </row>
    <row r="35" spans="1:21" x14ac:dyDescent="0.35">
      <c r="B35" s="37" t="s">
        <v>119</v>
      </c>
      <c r="C35" s="38"/>
      <c r="D35" s="38"/>
      <c r="E35" s="38"/>
      <c r="F35" s="38"/>
      <c r="G35" s="38"/>
      <c r="H35" s="39"/>
      <c r="J35" s="40" t="s">
        <v>120</v>
      </c>
      <c r="K35" s="41"/>
      <c r="L35" s="41"/>
      <c r="M35" s="41"/>
      <c r="N35" s="41"/>
      <c r="O35" s="41"/>
      <c r="P35" s="42"/>
    </row>
    <row r="36" spans="1:21" ht="29.5" thickBot="1" x14ac:dyDescent="0.4">
      <c r="B36" s="20" t="s">
        <v>50</v>
      </c>
      <c r="C36" s="20" t="s">
        <v>100</v>
      </c>
      <c r="D36" s="20" t="s">
        <v>101</v>
      </c>
      <c r="E36" s="20" t="s">
        <v>35</v>
      </c>
      <c r="F36" s="20" t="s">
        <v>102</v>
      </c>
      <c r="G36" s="20" t="s">
        <v>103</v>
      </c>
      <c r="H36" s="20" t="s">
        <v>104</v>
      </c>
      <c r="J36" s="21" t="s">
        <v>50</v>
      </c>
      <c r="K36" s="21" t="s">
        <v>100</v>
      </c>
      <c r="L36" s="21" t="s">
        <v>101</v>
      </c>
      <c r="M36" s="21" t="s">
        <v>35</v>
      </c>
      <c r="N36" s="21" t="s">
        <v>102</v>
      </c>
      <c r="O36" s="21" t="s">
        <v>103</v>
      </c>
      <c r="P36" s="21" t="s">
        <v>104</v>
      </c>
    </row>
    <row r="37" spans="1:21" ht="16" x14ac:dyDescent="0.35">
      <c r="A37" s="22" t="s">
        <v>105</v>
      </c>
      <c r="B37" s="19"/>
      <c r="C37" s="19"/>
      <c r="D37" s="19"/>
      <c r="E37" s="19"/>
      <c r="F37" s="23"/>
      <c r="G37" s="19"/>
      <c r="H37" s="23"/>
      <c r="J37" s="19"/>
      <c r="K37" s="19"/>
      <c r="L37" s="19"/>
      <c r="M37" s="19"/>
      <c r="N37" s="23"/>
      <c r="O37" s="19"/>
      <c r="P37" s="23"/>
    </row>
    <row r="38" spans="1:21" x14ac:dyDescent="0.35">
      <c r="A38" s="24" t="s">
        <v>106</v>
      </c>
      <c r="B38" s="19"/>
      <c r="C38" s="19"/>
      <c r="D38" s="19"/>
      <c r="E38" s="19"/>
      <c r="F38" s="23"/>
      <c r="G38" s="19"/>
      <c r="H38" s="23"/>
      <c r="J38" s="19"/>
      <c r="K38" s="19"/>
      <c r="L38" s="19"/>
      <c r="M38" s="19"/>
      <c r="N38" s="23"/>
      <c r="O38" s="19"/>
      <c r="P38" s="23"/>
    </row>
    <row r="39" spans="1:21" x14ac:dyDescent="0.35">
      <c r="A39" s="24" t="s">
        <v>107</v>
      </c>
      <c r="B39" s="19"/>
      <c r="C39" s="19"/>
      <c r="D39" s="19"/>
      <c r="E39" s="19"/>
      <c r="F39" s="23"/>
      <c r="G39" s="19"/>
      <c r="H39" s="23"/>
      <c r="J39" s="19"/>
      <c r="K39" s="19"/>
      <c r="L39" s="19"/>
      <c r="M39" s="19"/>
      <c r="N39" s="23"/>
      <c r="O39" s="19"/>
      <c r="P39" s="23"/>
    </row>
    <row r="40" spans="1:21" x14ac:dyDescent="0.35">
      <c r="A40" s="24" t="s">
        <v>108</v>
      </c>
      <c r="B40" s="19">
        <f t="shared" ref="B40:E46" si="12">B11+B26</f>
        <v>379412711</v>
      </c>
      <c r="C40" s="19">
        <f t="shared" si="12"/>
        <v>7217681</v>
      </c>
      <c r="D40" s="19">
        <f t="shared" si="12"/>
        <v>14648644</v>
      </c>
      <c r="E40" s="19">
        <f t="shared" si="12"/>
        <v>3921482</v>
      </c>
      <c r="F40" s="23">
        <f t="shared" ref="F40:F46" si="13">SUM(B40:E40)</f>
        <v>405200518</v>
      </c>
      <c r="G40" s="19">
        <f t="shared" ref="G40:G46" si="14">G11+G26</f>
        <v>119466962</v>
      </c>
      <c r="H40" s="23">
        <f>G40+F40</f>
        <v>524667480</v>
      </c>
      <c r="J40" s="19">
        <f t="shared" ref="J40:M46" si="15">J11+J26</f>
        <v>448412264</v>
      </c>
      <c r="K40" s="19">
        <f t="shared" si="15"/>
        <v>8657034</v>
      </c>
      <c r="L40" s="19">
        <f t="shared" si="15"/>
        <v>4381710</v>
      </c>
      <c r="M40" s="19">
        <f t="shared" si="15"/>
        <v>3809864</v>
      </c>
      <c r="N40" s="23">
        <f t="shared" ref="N40:N46" si="16">SUM(J40:M40)</f>
        <v>465260872</v>
      </c>
      <c r="O40" s="19">
        <f t="shared" ref="O40:O46" si="17">O11+O26</f>
        <v>116071499</v>
      </c>
      <c r="P40" s="23">
        <f>O40+N40</f>
        <v>581332371</v>
      </c>
      <c r="R40" s="19"/>
      <c r="S40" s="19"/>
      <c r="T40" s="19"/>
      <c r="U40" s="19"/>
    </row>
    <row r="41" spans="1:21" x14ac:dyDescent="0.35">
      <c r="A41" s="24" t="s">
        <v>109</v>
      </c>
      <c r="B41" s="19">
        <f t="shared" si="12"/>
        <v>1829485118</v>
      </c>
      <c r="C41" s="19">
        <f t="shared" si="12"/>
        <v>183897892</v>
      </c>
      <c r="D41" s="19">
        <f t="shared" si="12"/>
        <v>106842450</v>
      </c>
      <c r="E41" s="19">
        <f t="shared" si="12"/>
        <v>104054579</v>
      </c>
      <c r="F41" s="23">
        <f t="shared" si="13"/>
        <v>2224280039</v>
      </c>
      <c r="G41" s="19">
        <f t="shared" si="14"/>
        <v>127667381</v>
      </c>
      <c r="H41" s="23">
        <f t="shared" ref="H41:H46" si="18">G41+F41</f>
        <v>2351947420</v>
      </c>
      <c r="J41" s="19">
        <f t="shared" si="15"/>
        <v>2037755134</v>
      </c>
      <c r="K41" s="19">
        <f t="shared" si="15"/>
        <v>210414474</v>
      </c>
      <c r="L41" s="19">
        <f t="shared" si="15"/>
        <v>140208353</v>
      </c>
      <c r="M41" s="19">
        <f t="shared" si="15"/>
        <v>105981610</v>
      </c>
      <c r="N41" s="23">
        <f t="shared" si="16"/>
        <v>2494359571</v>
      </c>
      <c r="O41" s="19">
        <f t="shared" si="17"/>
        <v>117780856</v>
      </c>
      <c r="P41" s="23">
        <f t="shared" ref="P41:P46" si="19">O41+N41</f>
        <v>2612140427</v>
      </c>
      <c r="R41" s="25"/>
      <c r="S41" s="25"/>
      <c r="T41" s="25"/>
      <c r="U41" s="25"/>
    </row>
    <row r="42" spans="1:21" x14ac:dyDescent="0.35">
      <c r="A42" s="24" t="s">
        <v>110</v>
      </c>
      <c r="B42" s="19">
        <f t="shared" si="12"/>
        <v>1187198696</v>
      </c>
      <c r="C42" s="19">
        <f t="shared" si="12"/>
        <v>100266163</v>
      </c>
      <c r="D42" s="19">
        <f t="shared" si="12"/>
        <v>30557196</v>
      </c>
      <c r="E42" s="19">
        <f t="shared" si="12"/>
        <v>53109098</v>
      </c>
      <c r="F42" s="23">
        <f t="shared" si="13"/>
        <v>1371131153</v>
      </c>
      <c r="G42" s="19">
        <f t="shared" si="14"/>
        <v>53286662</v>
      </c>
      <c r="H42" s="23">
        <f t="shared" si="18"/>
        <v>1424417815</v>
      </c>
      <c r="J42" s="19">
        <f t="shared" si="15"/>
        <v>1060433764</v>
      </c>
      <c r="K42" s="19">
        <f t="shared" si="15"/>
        <v>94652715</v>
      </c>
      <c r="L42" s="19">
        <f t="shared" si="15"/>
        <v>38676768</v>
      </c>
      <c r="M42" s="19">
        <f t="shared" si="15"/>
        <v>45571010</v>
      </c>
      <c r="N42" s="23">
        <f t="shared" si="16"/>
        <v>1239334257</v>
      </c>
      <c r="O42" s="19">
        <f t="shared" si="17"/>
        <v>36537865</v>
      </c>
      <c r="P42" s="23">
        <f t="shared" si="19"/>
        <v>1275872122</v>
      </c>
    </row>
    <row r="43" spans="1:21" ht="29" x14ac:dyDescent="0.35">
      <c r="A43" s="26" t="s">
        <v>111</v>
      </c>
      <c r="B43" s="19">
        <f t="shared" si="12"/>
        <v>613316986</v>
      </c>
      <c r="C43" s="19">
        <f t="shared" si="12"/>
        <v>79337050</v>
      </c>
      <c r="D43" s="19">
        <f t="shared" si="12"/>
        <v>93509022</v>
      </c>
      <c r="E43" s="19">
        <f t="shared" si="12"/>
        <v>37667931</v>
      </c>
      <c r="F43" s="23">
        <f t="shared" si="13"/>
        <v>823830989</v>
      </c>
      <c r="G43" s="19">
        <f t="shared" si="14"/>
        <v>43205391</v>
      </c>
      <c r="H43" s="23">
        <f t="shared" si="18"/>
        <v>867036380</v>
      </c>
      <c r="J43" s="19">
        <f t="shared" si="15"/>
        <v>772152725</v>
      </c>
      <c r="K43" s="19">
        <f t="shared" si="15"/>
        <v>82413581</v>
      </c>
      <c r="L43" s="19">
        <f t="shared" si="15"/>
        <v>83990064</v>
      </c>
      <c r="M43" s="19">
        <f t="shared" si="15"/>
        <v>43047496</v>
      </c>
      <c r="N43" s="23">
        <f t="shared" si="16"/>
        <v>981603866</v>
      </c>
      <c r="O43" s="19">
        <f t="shared" si="17"/>
        <v>54382353</v>
      </c>
      <c r="P43" s="23">
        <f t="shared" si="19"/>
        <v>1035986219</v>
      </c>
    </row>
    <row r="44" spans="1:21" ht="29" x14ac:dyDescent="0.35">
      <c r="A44" s="26" t="s">
        <v>112</v>
      </c>
      <c r="B44" s="19">
        <f t="shared" si="12"/>
        <v>1229390152</v>
      </c>
      <c r="C44" s="19">
        <f t="shared" si="12"/>
        <v>199563705</v>
      </c>
      <c r="D44" s="19">
        <f t="shared" si="12"/>
        <v>117002318</v>
      </c>
      <c r="E44" s="19">
        <f t="shared" si="12"/>
        <v>73588010</v>
      </c>
      <c r="F44" s="23">
        <f t="shared" si="13"/>
        <v>1619544185</v>
      </c>
      <c r="G44" s="19">
        <f t="shared" si="14"/>
        <v>101142013</v>
      </c>
      <c r="H44" s="23">
        <f t="shared" si="18"/>
        <v>1720686198</v>
      </c>
      <c r="J44" s="19">
        <f t="shared" si="15"/>
        <v>1443854179</v>
      </c>
      <c r="K44" s="19">
        <f t="shared" si="15"/>
        <v>242106453</v>
      </c>
      <c r="L44" s="19">
        <f t="shared" si="15"/>
        <v>176351301</v>
      </c>
      <c r="M44" s="19">
        <f t="shared" si="15"/>
        <v>85821784</v>
      </c>
      <c r="N44" s="23">
        <f t="shared" si="16"/>
        <v>1948133717</v>
      </c>
      <c r="O44" s="19">
        <f t="shared" si="17"/>
        <v>104958199</v>
      </c>
      <c r="P44" s="23">
        <f t="shared" si="19"/>
        <v>2053091916</v>
      </c>
    </row>
    <row r="45" spans="1:21" x14ac:dyDescent="0.35">
      <c r="A45" s="24" t="s">
        <v>113</v>
      </c>
      <c r="B45" s="19">
        <f t="shared" si="12"/>
        <v>1917525270</v>
      </c>
      <c r="C45" s="19">
        <f t="shared" si="12"/>
        <v>235354823</v>
      </c>
      <c r="D45" s="19">
        <f t="shared" si="12"/>
        <v>110560523</v>
      </c>
      <c r="E45" s="19">
        <f t="shared" si="12"/>
        <v>97782649</v>
      </c>
      <c r="F45" s="23">
        <f t="shared" si="13"/>
        <v>2361223265</v>
      </c>
      <c r="G45" s="19">
        <f t="shared" si="14"/>
        <v>185155408</v>
      </c>
      <c r="H45" s="23">
        <f t="shared" si="18"/>
        <v>2546378673</v>
      </c>
      <c r="J45" s="19">
        <f t="shared" si="15"/>
        <v>2104660699</v>
      </c>
      <c r="K45" s="19">
        <f t="shared" si="15"/>
        <v>283554761</v>
      </c>
      <c r="L45" s="19">
        <f t="shared" si="15"/>
        <v>162393059</v>
      </c>
      <c r="M45" s="19">
        <f t="shared" si="15"/>
        <v>107075660</v>
      </c>
      <c r="N45" s="23">
        <f t="shared" si="16"/>
        <v>2657684179</v>
      </c>
      <c r="O45" s="19">
        <f t="shared" si="17"/>
        <v>179350283</v>
      </c>
      <c r="P45" s="23">
        <f t="shared" si="19"/>
        <v>2837034462</v>
      </c>
    </row>
    <row r="46" spans="1:21" x14ac:dyDescent="0.35">
      <c r="A46" s="27" t="s">
        <v>114</v>
      </c>
      <c r="B46" s="19">
        <f t="shared" si="12"/>
        <v>245774353</v>
      </c>
      <c r="C46" s="19">
        <f t="shared" si="12"/>
        <v>30832851</v>
      </c>
      <c r="D46" s="19">
        <f t="shared" si="12"/>
        <v>19859232</v>
      </c>
      <c r="E46" s="19">
        <f t="shared" si="12"/>
        <v>15421733</v>
      </c>
      <c r="F46" s="23">
        <f t="shared" si="13"/>
        <v>311888169</v>
      </c>
      <c r="G46" s="19">
        <f t="shared" si="14"/>
        <v>13947288</v>
      </c>
      <c r="H46" s="23">
        <f t="shared" si="18"/>
        <v>325835457</v>
      </c>
      <c r="J46" s="19">
        <f t="shared" si="15"/>
        <v>510524143</v>
      </c>
      <c r="K46" s="19">
        <f t="shared" si="15"/>
        <v>69503918</v>
      </c>
      <c r="L46" s="19">
        <f t="shared" si="15"/>
        <v>39559481</v>
      </c>
      <c r="M46" s="19">
        <f t="shared" si="15"/>
        <v>30149686</v>
      </c>
      <c r="N46" s="23">
        <f t="shared" si="16"/>
        <v>649737228</v>
      </c>
      <c r="O46" s="19">
        <f t="shared" si="17"/>
        <v>16931723</v>
      </c>
      <c r="P46" s="23">
        <f t="shared" si="19"/>
        <v>666668951</v>
      </c>
    </row>
    <row r="47" spans="1:21" ht="15" thickBot="1" x14ac:dyDescent="0.4">
      <c r="A47" s="28" t="s">
        <v>72</v>
      </c>
      <c r="B47" s="29">
        <f t="shared" ref="B47:H47" si="20">SUM(B38:B46)</f>
        <v>7402103286</v>
      </c>
      <c r="C47" s="29">
        <f t="shared" si="20"/>
        <v>836470165</v>
      </c>
      <c r="D47" s="29">
        <f>SUM(D38:D46)</f>
        <v>492979385</v>
      </c>
      <c r="E47" s="29">
        <f t="shared" si="20"/>
        <v>385545482</v>
      </c>
      <c r="F47" s="30">
        <f t="shared" si="20"/>
        <v>9117098318</v>
      </c>
      <c r="G47" s="29">
        <f t="shared" si="20"/>
        <v>643871105</v>
      </c>
      <c r="H47" s="30">
        <f t="shared" si="20"/>
        <v>9760969423</v>
      </c>
      <c r="J47" s="29">
        <f t="shared" ref="J47:P47" si="21">SUM(J38:J46)</f>
        <v>8377792908</v>
      </c>
      <c r="K47" s="29">
        <f t="shared" si="21"/>
        <v>991302936</v>
      </c>
      <c r="L47" s="29">
        <f t="shared" si="21"/>
        <v>645560736</v>
      </c>
      <c r="M47" s="29">
        <f t="shared" si="21"/>
        <v>421457110</v>
      </c>
      <c r="N47" s="30">
        <f t="shared" si="21"/>
        <v>10436113690</v>
      </c>
      <c r="O47" s="29">
        <f t="shared" si="21"/>
        <v>626012778</v>
      </c>
      <c r="P47" s="30">
        <f t="shared" si="21"/>
        <v>11062126468</v>
      </c>
    </row>
    <row r="48" spans="1:21" ht="15" thickTop="1" x14ac:dyDescent="0.35">
      <c r="B48" s="19"/>
      <c r="C48" s="19"/>
      <c r="D48" s="19"/>
      <c r="E48" s="19"/>
      <c r="F48" s="19"/>
      <c r="G48" s="19"/>
      <c r="H48" s="19"/>
      <c r="J48" s="19"/>
      <c r="K48" s="19"/>
      <c r="L48" s="19"/>
      <c r="M48" s="19"/>
      <c r="N48" s="19"/>
      <c r="O48" s="19"/>
      <c r="P48" s="19"/>
    </row>
    <row r="51" spans="1:16" x14ac:dyDescent="0.35">
      <c r="B51" s="37" t="s">
        <v>121</v>
      </c>
      <c r="C51" s="38"/>
      <c r="D51" s="38"/>
      <c r="E51" s="38"/>
      <c r="F51" s="38"/>
      <c r="G51" s="38"/>
      <c r="H51" s="39"/>
      <c r="J51" s="40" t="s">
        <v>122</v>
      </c>
      <c r="K51" s="41"/>
      <c r="L51" s="41"/>
      <c r="M51" s="41"/>
      <c r="N51" s="41"/>
      <c r="O51" s="41"/>
      <c r="P51" s="42"/>
    </row>
    <row r="52" spans="1:16" ht="29.5" thickBot="1" x14ac:dyDescent="0.4">
      <c r="B52" s="20" t="s">
        <v>50</v>
      </c>
      <c r="C52" s="20" t="s">
        <v>100</v>
      </c>
      <c r="D52" s="20" t="s">
        <v>101</v>
      </c>
      <c r="E52" s="20" t="s">
        <v>35</v>
      </c>
      <c r="F52" s="20" t="s">
        <v>102</v>
      </c>
      <c r="G52" s="20" t="s">
        <v>103</v>
      </c>
      <c r="H52" s="20" t="s">
        <v>104</v>
      </c>
      <c r="J52" s="21" t="s">
        <v>50</v>
      </c>
      <c r="K52" s="21" t="s">
        <v>100</v>
      </c>
      <c r="L52" s="21" t="s">
        <v>101</v>
      </c>
      <c r="M52" s="21" t="s">
        <v>35</v>
      </c>
      <c r="N52" s="21" t="s">
        <v>102</v>
      </c>
      <c r="O52" s="21" t="s">
        <v>103</v>
      </c>
      <c r="P52" s="21" t="s">
        <v>104</v>
      </c>
    </row>
    <row r="53" spans="1:16" ht="16" x14ac:dyDescent="0.35">
      <c r="A53" s="22" t="s">
        <v>105</v>
      </c>
      <c r="B53" s="19"/>
      <c r="C53" s="19"/>
      <c r="D53" s="19"/>
      <c r="E53" s="19"/>
      <c r="F53" s="23"/>
      <c r="G53" s="19"/>
      <c r="H53" s="23"/>
      <c r="J53" s="19"/>
      <c r="K53" s="19"/>
      <c r="L53" s="19"/>
      <c r="M53" s="19"/>
      <c r="N53" s="23"/>
      <c r="O53" s="19"/>
      <c r="P53" s="23"/>
    </row>
    <row r="54" spans="1:16" x14ac:dyDescent="0.35">
      <c r="A54" s="24" t="s">
        <v>106</v>
      </c>
      <c r="B54" s="19"/>
      <c r="C54" s="19"/>
      <c r="D54" s="19"/>
      <c r="E54" s="19"/>
      <c r="F54" s="23"/>
      <c r="G54" s="19"/>
      <c r="H54" s="23"/>
      <c r="J54" s="19"/>
      <c r="K54" s="19"/>
      <c r="L54" s="19"/>
      <c r="M54" s="19"/>
      <c r="N54" s="23"/>
      <c r="O54" s="19"/>
      <c r="P54" s="23"/>
    </row>
    <row r="55" spans="1:16" x14ac:dyDescent="0.35">
      <c r="A55" s="24" t="s">
        <v>107</v>
      </c>
      <c r="B55" s="19"/>
      <c r="C55" s="19"/>
      <c r="D55" s="19"/>
      <c r="E55" s="19"/>
      <c r="F55" s="23"/>
      <c r="G55" s="19"/>
      <c r="H55" s="23"/>
      <c r="J55" s="19"/>
      <c r="K55" s="19"/>
      <c r="L55" s="19"/>
      <c r="M55" s="19"/>
      <c r="N55" s="23"/>
      <c r="O55" s="19"/>
      <c r="P55" s="23"/>
    </row>
    <row r="56" spans="1:16" x14ac:dyDescent="0.35">
      <c r="A56" s="24" t="s">
        <v>108</v>
      </c>
      <c r="B56" s="25">
        <f t="shared" ref="B56:H62" si="22">B11/B$18</f>
        <v>1.4184806863467708E-2</v>
      </c>
      <c r="C56" s="25">
        <f t="shared" si="22"/>
        <v>7.0662665007939461E-3</v>
      </c>
      <c r="D56" s="25">
        <f t="shared" si="22"/>
        <v>1.496764645940319E-2</v>
      </c>
      <c r="E56" s="25">
        <f t="shared" si="22"/>
        <v>4.3766306261700813E-3</v>
      </c>
      <c r="F56" s="31">
        <f t="shared" si="22"/>
        <v>1.3386144322369368E-2</v>
      </c>
      <c r="G56" s="25">
        <f t="shared" si="22"/>
        <v>0.10166966232210346</v>
      </c>
      <c r="H56" s="31">
        <f t="shared" si="22"/>
        <v>1.7805574064260234E-2</v>
      </c>
      <c r="J56" s="25">
        <f t="shared" ref="J56:P62" si="23">J11/J$18</f>
        <v>1.2402484543846008E-2</v>
      </c>
      <c r="K56" s="25">
        <f t="shared" si="23"/>
        <v>9.1122662301286201E-3</v>
      </c>
      <c r="L56" s="25">
        <f t="shared" si="23"/>
        <v>2.2028823705496012E-3</v>
      </c>
      <c r="M56" s="25">
        <f t="shared" si="23"/>
        <v>4.3039438594716694E-3</v>
      </c>
      <c r="N56" s="31">
        <f t="shared" si="23"/>
        <v>1.1475809908689743E-2</v>
      </c>
      <c r="O56" s="25">
        <f t="shared" si="23"/>
        <v>9.4188777171165569E-2</v>
      </c>
      <c r="P56" s="31">
        <f t="shared" si="23"/>
        <v>1.4589447467459181E-2</v>
      </c>
    </row>
    <row r="57" spans="1:16" x14ac:dyDescent="0.35">
      <c r="A57" s="24" t="s">
        <v>109</v>
      </c>
      <c r="B57" s="25">
        <f t="shared" si="22"/>
        <v>0.1668974831849499</v>
      </c>
      <c r="C57" s="25">
        <f t="shared" si="22"/>
        <v>0.12636063688354912</v>
      </c>
      <c r="D57" s="25">
        <f t="shared" si="22"/>
        <v>9.9607538144836763E-2</v>
      </c>
      <c r="E57" s="25">
        <f t="shared" si="22"/>
        <v>0.11674891764397399</v>
      </c>
      <c r="F57" s="31">
        <f t="shared" si="22"/>
        <v>0.16008289877048937</v>
      </c>
      <c r="G57" s="25">
        <f t="shared" si="22"/>
        <v>9.9438365682694999E-2</v>
      </c>
      <c r="H57" s="31">
        <f t="shared" si="22"/>
        <v>0.15704706309828506</v>
      </c>
      <c r="J57" s="25">
        <f t="shared" si="23"/>
        <v>0.21294484732749414</v>
      </c>
      <c r="K57" s="25">
        <f t="shared" si="23"/>
        <v>0.11349743012887631</v>
      </c>
      <c r="L57" s="25">
        <f t="shared" si="23"/>
        <v>0.10407811831833622</v>
      </c>
      <c r="M57" s="25">
        <f t="shared" si="23"/>
        <v>0.10726923713097998</v>
      </c>
      <c r="N57" s="31">
        <f t="shared" si="23"/>
        <v>0.19713636670758855</v>
      </c>
      <c r="O57" s="25">
        <f t="shared" si="23"/>
        <v>9.6680883095578152E-2</v>
      </c>
      <c r="P57" s="31">
        <f t="shared" si="23"/>
        <v>0.19335483187561786</v>
      </c>
    </row>
    <row r="58" spans="1:16" x14ac:dyDescent="0.35">
      <c r="A58" s="24" t="s">
        <v>110</v>
      </c>
      <c r="B58" s="25">
        <f t="shared" si="22"/>
        <v>0.17658086491678718</v>
      </c>
      <c r="C58" s="25">
        <f t="shared" si="22"/>
        <v>0.1289657992871219</v>
      </c>
      <c r="D58" s="25">
        <f t="shared" si="22"/>
        <v>5.6317392587664536E-2</v>
      </c>
      <c r="E58" s="25">
        <f t="shared" si="22"/>
        <v>0.13216034656400547</v>
      </c>
      <c r="F58" s="31">
        <f t="shared" si="22"/>
        <v>0.16759659483974373</v>
      </c>
      <c r="G58" s="25">
        <f t="shared" si="22"/>
        <v>6.9423527136199953E-2</v>
      </c>
      <c r="H58" s="31">
        <f t="shared" si="22"/>
        <v>0.1626820990755059</v>
      </c>
      <c r="J58" s="25">
        <f t="shared" si="23"/>
        <v>0.14259953539344744</v>
      </c>
      <c r="K58" s="25">
        <f t="shared" si="23"/>
        <v>8.6853508537891144E-2</v>
      </c>
      <c r="L58" s="25">
        <f t="shared" si="23"/>
        <v>7.5000787648552975E-2</v>
      </c>
      <c r="M58" s="25">
        <f t="shared" si="23"/>
        <v>9.7007354741722951E-2</v>
      </c>
      <c r="N58" s="31">
        <f t="shared" si="23"/>
        <v>0.13389844426879555</v>
      </c>
      <c r="O58" s="25">
        <f t="shared" si="23"/>
        <v>6.3590678796983269E-2</v>
      </c>
      <c r="P58" s="31">
        <f t="shared" si="23"/>
        <v>0.13125178671930268</v>
      </c>
    </row>
    <row r="59" spans="1:16" ht="29" x14ac:dyDescent="0.35">
      <c r="A59" s="26" t="s">
        <v>111</v>
      </c>
      <c r="B59" s="25">
        <f t="shared" si="22"/>
        <v>8.9607389124032655E-2</v>
      </c>
      <c r="C59" s="25">
        <f t="shared" si="22"/>
        <v>7.4832777218395763E-2</v>
      </c>
      <c r="D59" s="25">
        <f t="shared" si="22"/>
        <v>0.18431671627616383</v>
      </c>
      <c r="E59" s="25">
        <f t="shared" si="22"/>
        <v>0.10435572531518389</v>
      </c>
      <c r="F59" s="31">
        <f t="shared" si="22"/>
        <v>9.2113608171235442E-2</v>
      </c>
      <c r="G59" s="25">
        <f t="shared" si="22"/>
        <v>4.9876912784585101E-2</v>
      </c>
      <c r="H59" s="31">
        <f t="shared" si="22"/>
        <v>8.9999259853223129E-2</v>
      </c>
      <c r="J59" s="25">
        <f t="shared" si="23"/>
        <v>9.3576373063881765E-2</v>
      </c>
      <c r="K59" s="25">
        <f t="shared" si="23"/>
        <v>6.5280267611232165E-2</v>
      </c>
      <c r="L59" s="25">
        <f t="shared" si="23"/>
        <v>0.13079900773863617</v>
      </c>
      <c r="M59" s="25">
        <f t="shared" si="23"/>
        <v>0.10879181445499246</v>
      </c>
      <c r="N59" s="31">
        <f t="shared" si="23"/>
        <v>9.3180123094501577E-2</v>
      </c>
      <c r="O59" s="25">
        <f t="shared" si="23"/>
        <v>6.6442405979248928E-2</v>
      </c>
      <c r="P59" s="31">
        <f t="shared" si="23"/>
        <v>9.2173611503862857E-2</v>
      </c>
    </row>
    <row r="60" spans="1:16" ht="29" x14ac:dyDescent="0.35">
      <c r="A60" s="26" t="s">
        <v>112</v>
      </c>
      <c r="B60" s="25">
        <f t="shared" si="22"/>
        <v>0.21857196312425103</v>
      </c>
      <c r="C60" s="25">
        <f t="shared" si="22"/>
        <v>0.29523898190728565</v>
      </c>
      <c r="D60" s="25">
        <f t="shared" si="22"/>
        <v>0.29125937662213824</v>
      </c>
      <c r="E60" s="25">
        <f t="shared" si="22"/>
        <v>0.24270524639964342</v>
      </c>
      <c r="F60" s="31">
        <f t="shared" si="22"/>
        <v>0.22757635240957924</v>
      </c>
      <c r="G60" s="25">
        <f t="shared" si="22"/>
        <v>0.22657611926081295</v>
      </c>
      <c r="H60" s="31">
        <f t="shared" si="22"/>
        <v>0.22752628122724941</v>
      </c>
      <c r="J60" s="25">
        <f t="shared" si="23"/>
        <v>0.2106547485630787</v>
      </c>
      <c r="K60" s="25">
        <f t="shared" si="23"/>
        <v>0.3025401351188175</v>
      </c>
      <c r="L60" s="25">
        <f t="shared" si="23"/>
        <v>0.31738456372883661</v>
      </c>
      <c r="M60" s="25">
        <f t="shared" si="23"/>
        <v>0.25824327115056755</v>
      </c>
      <c r="N60" s="31">
        <f t="shared" si="23"/>
        <v>0.22396002995568404</v>
      </c>
      <c r="O60" s="25">
        <f t="shared" si="23"/>
        <v>0.2285986521589338</v>
      </c>
      <c r="P60" s="31">
        <f t="shared" si="23"/>
        <v>0.22413464572381564</v>
      </c>
    </row>
    <row r="61" spans="1:16" x14ac:dyDescent="0.35">
      <c r="A61" s="24" t="s">
        <v>113</v>
      </c>
      <c r="B61" s="25">
        <f t="shared" si="22"/>
        <v>0.30537787141013817</v>
      </c>
      <c r="C61" s="25">
        <f t="shared" si="22"/>
        <v>0.34274020920413029</v>
      </c>
      <c r="D61" s="25">
        <f t="shared" si="22"/>
        <v>0.31562163644233143</v>
      </c>
      <c r="E61" s="25">
        <f t="shared" si="22"/>
        <v>0.38993839417058662</v>
      </c>
      <c r="F61" s="31">
        <f t="shared" si="22"/>
        <v>0.31100799220540853</v>
      </c>
      <c r="G61" s="25">
        <f t="shared" si="22"/>
        <v>0.43964592660532154</v>
      </c>
      <c r="H61" s="31">
        <f t="shared" si="22"/>
        <v>0.31744754429965216</v>
      </c>
      <c r="J61" s="25">
        <f t="shared" si="23"/>
        <v>0.27310054576030751</v>
      </c>
      <c r="K61" s="25">
        <f t="shared" si="23"/>
        <v>0.36168387334204316</v>
      </c>
      <c r="L61" s="25">
        <f t="shared" si="23"/>
        <v>0.34107990671005639</v>
      </c>
      <c r="M61" s="25">
        <f t="shared" si="23"/>
        <v>0.38912562860116273</v>
      </c>
      <c r="N61" s="31">
        <f t="shared" si="23"/>
        <v>0.28670799500343036</v>
      </c>
      <c r="O61" s="25">
        <f t="shared" si="23"/>
        <v>0.43283474634733826</v>
      </c>
      <c r="P61" s="31">
        <f t="shared" si="23"/>
        <v>0.29220877385811139</v>
      </c>
    </row>
    <row r="62" spans="1:16" x14ac:dyDescent="0.35">
      <c r="A62" s="27" t="s">
        <v>114</v>
      </c>
      <c r="B62" s="25">
        <f t="shared" si="22"/>
        <v>2.8779621376373334E-2</v>
      </c>
      <c r="C62" s="25">
        <f t="shared" si="22"/>
        <v>2.4795328998723328E-2</v>
      </c>
      <c r="D62" s="25">
        <f t="shared" si="22"/>
        <v>3.7909693467462015E-2</v>
      </c>
      <c r="E62" s="25">
        <f t="shared" si="22"/>
        <v>9.7147392804365403E-3</v>
      </c>
      <c r="F62" s="31">
        <f t="shared" si="22"/>
        <v>2.8236409281174307E-2</v>
      </c>
      <c r="G62" s="25">
        <f t="shared" si="22"/>
        <v>1.3369486208282015E-2</v>
      </c>
      <c r="H62" s="31">
        <f t="shared" si="22"/>
        <v>2.7492178381824085E-2</v>
      </c>
      <c r="J62" s="25">
        <f t="shared" si="23"/>
        <v>5.4721465347944455E-2</v>
      </c>
      <c r="K62" s="25">
        <f t="shared" si="23"/>
        <v>6.103251903101109E-2</v>
      </c>
      <c r="L62" s="25">
        <f t="shared" si="23"/>
        <v>2.9454733485032025E-2</v>
      </c>
      <c r="M62" s="25">
        <f t="shared" si="23"/>
        <v>3.5258750061102621E-2</v>
      </c>
      <c r="N62" s="31">
        <f t="shared" si="23"/>
        <v>5.3641231061310198E-2</v>
      </c>
      <c r="O62" s="25">
        <f t="shared" si="23"/>
        <v>1.7663856450752056E-2</v>
      </c>
      <c r="P62" s="31">
        <f t="shared" si="23"/>
        <v>5.228690285183038E-2</v>
      </c>
    </row>
    <row r="63" spans="1:16" ht="15" thickBot="1" x14ac:dyDescent="0.4">
      <c r="A63" s="28" t="s">
        <v>123</v>
      </c>
      <c r="B63" s="32">
        <f t="shared" ref="B63:H63" si="24">SUM(B54:B62)</f>
        <v>1</v>
      </c>
      <c r="C63" s="32">
        <f t="shared" si="24"/>
        <v>1</v>
      </c>
      <c r="D63" s="32">
        <f>SUM(D54:D62)</f>
        <v>0.99999999999999989</v>
      </c>
      <c r="E63" s="32">
        <f t="shared" si="24"/>
        <v>1</v>
      </c>
      <c r="F63" s="33">
        <f t="shared" si="24"/>
        <v>1</v>
      </c>
      <c r="G63" s="32">
        <f t="shared" si="24"/>
        <v>1</v>
      </c>
      <c r="H63" s="33">
        <f t="shared" si="24"/>
        <v>0.99999999999999989</v>
      </c>
      <c r="J63" s="32">
        <f t="shared" ref="J63:P63" si="25">SUM(J54:J62)</f>
        <v>1</v>
      </c>
      <c r="K63" s="32">
        <f t="shared" si="25"/>
        <v>1</v>
      </c>
      <c r="L63" s="32">
        <f t="shared" si="25"/>
        <v>1</v>
      </c>
      <c r="M63" s="32">
        <f t="shared" si="25"/>
        <v>0.99999999999999989</v>
      </c>
      <c r="N63" s="33">
        <f t="shared" si="25"/>
        <v>1</v>
      </c>
      <c r="O63" s="32">
        <f t="shared" si="25"/>
        <v>1</v>
      </c>
      <c r="P63" s="33">
        <f t="shared" si="25"/>
        <v>0.99999999999999989</v>
      </c>
    </row>
    <row r="64" spans="1:16" ht="15" thickTop="1" x14ac:dyDescent="0.35">
      <c r="B64" s="19"/>
      <c r="C64" s="19"/>
      <c r="D64" s="19"/>
      <c r="E64" s="19"/>
      <c r="F64" s="19"/>
      <c r="G64" s="19"/>
      <c r="H64" s="19"/>
      <c r="J64" s="19"/>
      <c r="K64" s="19"/>
      <c r="L64" s="19"/>
      <c r="M64" s="19"/>
      <c r="N64" s="19"/>
      <c r="O64" s="19"/>
      <c r="P64" s="19"/>
    </row>
    <row r="66" spans="1:16" x14ac:dyDescent="0.35">
      <c r="B66" s="37" t="s">
        <v>124</v>
      </c>
      <c r="C66" s="38"/>
      <c r="D66" s="38"/>
      <c r="E66" s="38"/>
      <c r="F66" s="38"/>
      <c r="G66" s="38"/>
      <c r="H66" s="39"/>
      <c r="J66" s="40" t="s">
        <v>125</v>
      </c>
      <c r="K66" s="41"/>
      <c r="L66" s="41"/>
      <c r="M66" s="41"/>
      <c r="N66" s="41"/>
      <c r="O66" s="41"/>
      <c r="P66" s="42"/>
    </row>
    <row r="67" spans="1:16" ht="29.5" thickBot="1" x14ac:dyDescent="0.4">
      <c r="B67" s="20" t="s">
        <v>50</v>
      </c>
      <c r="C67" s="20" t="s">
        <v>100</v>
      </c>
      <c r="D67" s="20" t="s">
        <v>101</v>
      </c>
      <c r="E67" s="20" t="s">
        <v>35</v>
      </c>
      <c r="F67" s="20" t="s">
        <v>102</v>
      </c>
      <c r="G67" s="20" t="s">
        <v>103</v>
      </c>
      <c r="H67" s="20" t="s">
        <v>104</v>
      </c>
      <c r="J67" s="21" t="s">
        <v>50</v>
      </c>
      <c r="K67" s="21" t="s">
        <v>100</v>
      </c>
      <c r="L67" s="21" t="s">
        <v>101</v>
      </c>
      <c r="M67" s="21" t="s">
        <v>35</v>
      </c>
      <c r="N67" s="21" t="s">
        <v>102</v>
      </c>
      <c r="O67" s="21" t="s">
        <v>103</v>
      </c>
      <c r="P67" s="21" t="s">
        <v>104</v>
      </c>
    </row>
    <row r="68" spans="1:16" ht="16" x14ac:dyDescent="0.35">
      <c r="A68" s="22" t="s">
        <v>105</v>
      </c>
      <c r="B68" s="19"/>
      <c r="C68" s="19"/>
      <c r="D68" s="19"/>
      <c r="E68" s="19"/>
      <c r="F68" s="23"/>
      <c r="G68" s="19"/>
      <c r="H68" s="23"/>
      <c r="J68" s="19"/>
      <c r="K68" s="19"/>
      <c r="L68" s="19"/>
      <c r="M68" s="19"/>
      <c r="N68" s="23"/>
      <c r="O68" s="19"/>
      <c r="P68" s="23"/>
    </row>
    <row r="69" spans="1:16" x14ac:dyDescent="0.35">
      <c r="A69" s="24" t="s">
        <v>106</v>
      </c>
      <c r="B69" s="19"/>
      <c r="C69" s="19"/>
      <c r="D69" s="19"/>
      <c r="E69" s="19"/>
      <c r="F69" s="23"/>
      <c r="G69" s="19"/>
      <c r="H69" s="23"/>
      <c r="J69" s="19"/>
      <c r="K69" s="19"/>
      <c r="L69" s="19"/>
      <c r="M69" s="19"/>
      <c r="N69" s="23"/>
      <c r="O69" s="19"/>
      <c r="P69" s="23"/>
    </row>
    <row r="70" spans="1:16" x14ac:dyDescent="0.35">
      <c r="A70" s="24" t="s">
        <v>107</v>
      </c>
      <c r="B70" s="19"/>
      <c r="C70" s="19"/>
      <c r="D70" s="19"/>
      <c r="E70" s="19"/>
      <c r="F70" s="23"/>
      <c r="G70" s="19"/>
      <c r="H70" s="23"/>
      <c r="J70" s="19"/>
      <c r="K70" s="19"/>
      <c r="L70" s="19"/>
      <c r="M70" s="19"/>
      <c r="N70" s="23"/>
      <c r="O70" s="19"/>
      <c r="P70" s="23"/>
    </row>
    <row r="71" spans="1:16" x14ac:dyDescent="0.35">
      <c r="A71" s="24" t="s">
        <v>108</v>
      </c>
      <c r="B71" s="25">
        <f t="shared" ref="B71:H77" si="26">B26/B$33</f>
        <v>7.5837890126145877E-2</v>
      </c>
      <c r="C71" s="25">
        <f t="shared" si="26"/>
        <v>9.3389455284912173E-3</v>
      </c>
      <c r="D71" s="25">
        <f t="shared" si="26"/>
        <v>3.4258003062293485E-2</v>
      </c>
      <c r="E71" s="25">
        <f t="shared" si="26"/>
        <v>1.2163227705003951E-2</v>
      </c>
      <c r="F71" s="31">
        <f t="shared" si="26"/>
        <v>6.3151860114758429E-2</v>
      </c>
      <c r="G71" s="25">
        <f t="shared" si="26"/>
        <v>0.21824479879217143</v>
      </c>
      <c r="H71" s="31">
        <f t="shared" si="26"/>
        <v>7.4828721993566882E-2</v>
      </c>
      <c r="J71" s="25">
        <f t="shared" ref="J71:P77" si="27">J26/J$33</f>
        <v>7.8864359085872429E-2</v>
      </c>
      <c r="K71" s="25">
        <f t="shared" si="27"/>
        <v>8.5586092597758449E-3</v>
      </c>
      <c r="L71" s="25">
        <f t="shared" si="27"/>
        <v>8.1702114237346257E-3</v>
      </c>
      <c r="M71" s="25">
        <f t="shared" si="27"/>
        <v>1.0847265110729924E-2</v>
      </c>
      <c r="N71" s="31">
        <f t="shared" si="27"/>
        <v>6.3324220135275222E-2</v>
      </c>
      <c r="O71" s="25">
        <f t="shared" si="27"/>
        <v>0.21355035831828509</v>
      </c>
      <c r="P71" s="31">
        <f t="shared" si="27"/>
        <v>7.3387858671427927E-2</v>
      </c>
    </row>
    <row r="72" spans="1:16" x14ac:dyDescent="0.35">
      <c r="A72" s="24" t="s">
        <v>109</v>
      </c>
      <c r="B72" s="25">
        <f t="shared" si="26"/>
        <v>0.30037271775447882</v>
      </c>
      <c r="C72" s="25">
        <f t="shared" si="26"/>
        <v>0.2623447240261424</v>
      </c>
      <c r="D72" s="25">
        <f t="shared" si="26"/>
        <v>0.25281266113019668</v>
      </c>
      <c r="E72" s="25">
        <f t="shared" si="26"/>
        <v>0.3225330433441233</v>
      </c>
      <c r="F72" s="31">
        <f t="shared" si="26"/>
        <v>0.2944964940292536</v>
      </c>
      <c r="G72" s="25">
        <f t="shared" si="26"/>
        <v>0.23681618227030438</v>
      </c>
      <c r="H72" s="31">
        <f t="shared" si="26"/>
        <v>0.29015377514547019</v>
      </c>
      <c r="J72" s="25">
        <f t="shared" si="27"/>
        <v>0.26189749656079242</v>
      </c>
      <c r="K72" s="25">
        <f t="shared" si="27"/>
        <v>0.25766728404882805</v>
      </c>
      <c r="L72" s="25">
        <f t="shared" si="27"/>
        <v>0.25130399897427647</v>
      </c>
      <c r="M72" s="25">
        <f t="shared" si="27"/>
        <v>0.30650015178793621</v>
      </c>
      <c r="N72" s="31">
        <f t="shared" si="27"/>
        <v>0.26271966035711247</v>
      </c>
      <c r="O72" s="25">
        <f t="shared" si="27"/>
        <v>0.21635444661224321</v>
      </c>
      <c r="P72" s="31">
        <f t="shared" si="27"/>
        <v>0.259613657916902</v>
      </c>
    </row>
    <row r="73" spans="1:16" x14ac:dyDescent="0.35">
      <c r="A73" s="24" t="s">
        <v>110</v>
      </c>
      <c r="B73" s="25">
        <f t="shared" si="26"/>
        <v>0.14964933801247485</v>
      </c>
      <c r="C73" s="25">
        <f t="shared" si="26"/>
        <v>0.11573294058472533</v>
      </c>
      <c r="D73" s="25">
        <f t="shared" si="26"/>
        <v>6.3730832575566429E-2</v>
      </c>
      <c r="E73" s="25">
        <f t="shared" si="26"/>
        <v>0.13967223391629557</v>
      </c>
      <c r="F73" s="31">
        <f t="shared" si="26"/>
        <v>0.14002742509829219</v>
      </c>
      <c r="G73" s="25">
        <f t="shared" si="26"/>
        <v>8.7959178915283293E-2</v>
      </c>
      <c r="H73" s="31">
        <f t="shared" si="26"/>
        <v>0.1361072355388217</v>
      </c>
      <c r="J73" s="25">
        <f t="shared" si="27"/>
        <v>0.11670294936058491</v>
      </c>
      <c r="K73" s="25">
        <f t="shared" si="27"/>
        <v>9.9450648309582876E-2</v>
      </c>
      <c r="L73" s="25">
        <f t="shared" si="27"/>
        <v>5.536089511172701E-2</v>
      </c>
      <c r="M73" s="25">
        <f t="shared" si="27"/>
        <v>0.11237144114529114</v>
      </c>
      <c r="N73" s="31">
        <f t="shared" si="27"/>
        <v>0.11018082971834711</v>
      </c>
      <c r="O73" s="25">
        <f t="shared" si="27"/>
        <v>5.6754568491721891E-2</v>
      </c>
      <c r="P73" s="31">
        <f t="shared" si="27"/>
        <v>0.10660180819901717</v>
      </c>
    </row>
    <row r="74" spans="1:16" ht="29" x14ac:dyDescent="0.35">
      <c r="A74" s="26" t="s">
        <v>111</v>
      </c>
      <c r="B74" s="25">
        <f t="shared" si="26"/>
        <v>7.838145538106997E-2</v>
      </c>
      <c r="C74" s="25">
        <f t="shared" si="26"/>
        <v>0.1039449404544257</v>
      </c>
      <c r="D74" s="25">
        <f t="shared" si="26"/>
        <v>0.19133425588109471</v>
      </c>
      <c r="E74" s="25">
        <f t="shared" si="26"/>
        <v>9.5412494631729711E-2</v>
      </c>
      <c r="F74" s="31">
        <f t="shared" si="26"/>
        <v>8.9305461917554715E-2</v>
      </c>
      <c r="G74" s="25">
        <f t="shared" si="26"/>
        <v>7.381821065481356E-2</v>
      </c>
      <c r="H74" s="31">
        <f t="shared" si="26"/>
        <v>8.8139435305256295E-2</v>
      </c>
      <c r="J74" s="25">
        <f t="shared" si="27"/>
        <v>9.1297856296502111E-2</v>
      </c>
      <c r="K74" s="25">
        <f t="shared" si="27"/>
        <v>9.1346165201867641E-2</v>
      </c>
      <c r="L74" s="25">
        <f t="shared" si="27"/>
        <v>0.1298944373252065</v>
      </c>
      <c r="M74" s="25">
        <f t="shared" si="27"/>
        <v>9.9600751880470767E-2</v>
      </c>
      <c r="N74" s="31">
        <f t="shared" si="27"/>
        <v>9.4555578189271614E-2</v>
      </c>
      <c r="O74" s="25">
        <f t="shared" si="27"/>
        <v>9.3171747813148006E-2</v>
      </c>
      <c r="P74" s="31">
        <f t="shared" si="27"/>
        <v>9.4462875488735637E-2</v>
      </c>
    </row>
    <row r="75" spans="1:16" ht="29" x14ac:dyDescent="0.35">
      <c r="A75" s="26" t="s">
        <v>112</v>
      </c>
      <c r="B75" s="25">
        <f t="shared" si="26"/>
        <v>0.13128691925979213</v>
      </c>
      <c r="C75" s="25">
        <f t="shared" si="26"/>
        <v>0.21282376460397803</v>
      </c>
      <c r="D75" s="25">
        <f t="shared" si="26"/>
        <v>0.2207237881500059</v>
      </c>
      <c r="E75" s="25">
        <f t="shared" si="26"/>
        <v>0.17304734000998337</v>
      </c>
      <c r="F75" s="31">
        <f t="shared" si="26"/>
        <v>0.14755762033358524</v>
      </c>
      <c r="G75" s="25">
        <f t="shared" si="26"/>
        <v>0.12999184212849715</v>
      </c>
      <c r="H75" s="31">
        <f t="shared" si="26"/>
        <v>0.14623510257330719</v>
      </c>
      <c r="J75" s="25">
        <f t="shared" si="27"/>
        <v>0.14873401840386688</v>
      </c>
      <c r="K75" s="25">
        <f t="shared" si="27"/>
        <v>0.21742244780475231</v>
      </c>
      <c r="L75" s="25">
        <f t="shared" si="27"/>
        <v>0.25984133146207194</v>
      </c>
      <c r="M75" s="25">
        <f t="shared" si="27"/>
        <v>0.1827871926315601</v>
      </c>
      <c r="N75" s="31">
        <f t="shared" si="27"/>
        <v>0.16556253474649427</v>
      </c>
      <c r="O75" s="25">
        <f t="shared" si="27"/>
        <v>0.14886667622621849</v>
      </c>
      <c r="P75" s="31">
        <f t="shared" si="27"/>
        <v>0.1644440803468071</v>
      </c>
    </row>
    <row r="76" spans="1:16" x14ac:dyDescent="0.35">
      <c r="A76" s="24" t="s">
        <v>113</v>
      </c>
      <c r="B76" s="25">
        <f t="shared" si="26"/>
        <v>0.22833530017492551</v>
      </c>
      <c r="C76" s="25">
        <f t="shared" si="26"/>
        <v>0.25346980876102432</v>
      </c>
      <c r="D76" s="25">
        <f t="shared" si="26"/>
        <v>0.1961248053289773</v>
      </c>
      <c r="E76" s="25">
        <f t="shared" si="26"/>
        <v>0.20676104459256253</v>
      </c>
      <c r="F76" s="31">
        <f t="shared" si="26"/>
        <v>0.22765428661616738</v>
      </c>
      <c r="G76" s="25">
        <f t="shared" si="26"/>
        <v>0.22827536529017844</v>
      </c>
      <c r="H76" s="31">
        <f t="shared" si="26"/>
        <v>0.22770104728724722</v>
      </c>
      <c r="J76" s="25">
        <f t="shared" si="27"/>
        <v>0.23773482433258369</v>
      </c>
      <c r="K76" s="25">
        <f t="shared" si="27"/>
        <v>0.25126603023702188</v>
      </c>
      <c r="L76" s="25">
        <f t="shared" si="27"/>
        <v>0.22455119036082968</v>
      </c>
      <c r="M76" s="25">
        <f t="shared" si="27"/>
        <v>0.20251010409087905</v>
      </c>
      <c r="N76" s="31">
        <f t="shared" si="27"/>
        <v>0.23652008841398375</v>
      </c>
      <c r="O76" s="25">
        <f t="shared" si="27"/>
        <v>0.2413612698423421</v>
      </c>
      <c r="P76" s="31">
        <f t="shared" si="27"/>
        <v>0.23684439882076253</v>
      </c>
    </row>
    <row r="77" spans="1:16" x14ac:dyDescent="0.35">
      <c r="A77" s="27" t="s">
        <v>114</v>
      </c>
      <c r="B77" s="25">
        <f t="shared" si="26"/>
        <v>3.6136379291112783E-2</v>
      </c>
      <c r="C77" s="25">
        <f t="shared" si="26"/>
        <v>4.234487604121303E-2</v>
      </c>
      <c r="D77" s="25">
        <f t="shared" si="26"/>
        <v>4.1015653871865516E-2</v>
      </c>
      <c r="E77" s="25">
        <f t="shared" si="26"/>
        <v>5.0410615800301553E-2</v>
      </c>
      <c r="F77" s="31">
        <f t="shared" si="26"/>
        <v>3.7806851890388446E-2</v>
      </c>
      <c r="G77" s="25">
        <f t="shared" si="26"/>
        <v>2.4894421948751733E-2</v>
      </c>
      <c r="H77" s="31">
        <f t="shared" si="26"/>
        <v>3.6834682156330525E-2</v>
      </c>
      <c r="J77" s="25">
        <f t="shared" si="27"/>
        <v>6.4768495959797584E-2</v>
      </c>
      <c r="K77" s="25">
        <f t="shared" si="27"/>
        <v>7.4288815138171413E-2</v>
      </c>
      <c r="L77" s="25">
        <f t="shared" si="27"/>
        <v>7.0877935342153739E-2</v>
      </c>
      <c r="M77" s="25">
        <f t="shared" si="27"/>
        <v>8.5383093353132822E-2</v>
      </c>
      <c r="N77" s="31">
        <f t="shared" si="27"/>
        <v>6.7137088439515533E-2</v>
      </c>
      <c r="O77" s="25">
        <f t="shared" si="27"/>
        <v>2.9940932696041211E-2</v>
      </c>
      <c r="P77" s="31">
        <f t="shared" si="27"/>
        <v>6.4645320556347641E-2</v>
      </c>
    </row>
    <row r="78" spans="1:16" ht="15" thickBot="1" x14ac:dyDescent="0.4">
      <c r="A78" s="28" t="s">
        <v>126</v>
      </c>
      <c r="B78" s="32">
        <f t="shared" ref="B78:H78" si="28">SUM(B69:B77)</f>
        <v>1</v>
      </c>
      <c r="C78" s="32">
        <f t="shared" si="28"/>
        <v>1</v>
      </c>
      <c r="D78" s="32">
        <f>SUM(D69:D77)</f>
        <v>1</v>
      </c>
      <c r="E78" s="32">
        <f t="shared" si="28"/>
        <v>1</v>
      </c>
      <c r="F78" s="33">
        <f t="shared" si="28"/>
        <v>1</v>
      </c>
      <c r="G78" s="32">
        <f t="shared" si="28"/>
        <v>0.99999999999999989</v>
      </c>
      <c r="H78" s="33">
        <f t="shared" si="28"/>
        <v>1</v>
      </c>
      <c r="J78" s="32">
        <f t="shared" ref="J78:P78" si="29">SUM(J69:J77)</f>
        <v>1</v>
      </c>
      <c r="K78" s="32">
        <f t="shared" si="29"/>
        <v>1</v>
      </c>
      <c r="L78" s="32">
        <f t="shared" si="29"/>
        <v>1</v>
      </c>
      <c r="M78" s="32">
        <f t="shared" si="29"/>
        <v>1</v>
      </c>
      <c r="N78" s="33">
        <f t="shared" si="29"/>
        <v>1</v>
      </c>
      <c r="O78" s="32">
        <f t="shared" si="29"/>
        <v>1</v>
      </c>
      <c r="P78" s="33">
        <f t="shared" si="29"/>
        <v>1</v>
      </c>
    </row>
    <row r="79" spans="1:16" ht="15" thickTop="1" x14ac:dyDescent="0.35">
      <c r="B79" s="19"/>
      <c r="C79" s="19"/>
      <c r="D79" s="19"/>
      <c r="E79" s="19"/>
      <c r="F79" s="19"/>
      <c r="G79" s="19"/>
      <c r="H79" s="19"/>
      <c r="J79" s="19"/>
      <c r="K79" s="19"/>
      <c r="L79" s="19"/>
      <c r="M79" s="19"/>
      <c r="N79" s="19"/>
      <c r="O79" s="19"/>
      <c r="P79" s="19"/>
    </row>
    <row r="80" spans="1:16" x14ac:dyDescent="0.35">
      <c r="B80" s="37" t="s">
        <v>127</v>
      </c>
      <c r="C80" s="38"/>
      <c r="D80" s="38"/>
      <c r="E80" s="38"/>
      <c r="F80" s="38"/>
      <c r="G80" s="38"/>
      <c r="H80" s="39"/>
      <c r="J80" s="40" t="s">
        <v>128</v>
      </c>
      <c r="K80" s="41"/>
      <c r="L80" s="41"/>
      <c r="M80" s="41"/>
      <c r="N80" s="41"/>
      <c r="O80" s="41"/>
      <c r="P80" s="42"/>
    </row>
    <row r="81" spans="1:16" ht="29.5" thickBot="1" x14ac:dyDescent="0.4">
      <c r="B81" s="20" t="s">
        <v>50</v>
      </c>
      <c r="C81" s="20" t="s">
        <v>100</v>
      </c>
      <c r="D81" s="20" t="s">
        <v>101</v>
      </c>
      <c r="E81" s="20" t="s">
        <v>35</v>
      </c>
      <c r="F81" s="20" t="s">
        <v>102</v>
      </c>
      <c r="G81" s="20" t="s">
        <v>103</v>
      </c>
      <c r="H81" s="20" t="s">
        <v>104</v>
      </c>
      <c r="J81" s="21" t="s">
        <v>50</v>
      </c>
      <c r="K81" s="21" t="s">
        <v>100</v>
      </c>
      <c r="L81" s="21" t="s">
        <v>101</v>
      </c>
      <c r="M81" s="21" t="s">
        <v>35</v>
      </c>
      <c r="N81" s="21" t="s">
        <v>102</v>
      </c>
      <c r="O81" s="21" t="s">
        <v>103</v>
      </c>
      <c r="P81" s="21" t="s">
        <v>104</v>
      </c>
    </row>
    <row r="82" spans="1:16" ht="16" x14ac:dyDescent="0.35">
      <c r="A82" s="22" t="s">
        <v>105</v>
      </c>
      <c r="B82" s="19"/>
      <c r="C82" s="19"/>
      <c r="D82" s="19"/>
      <c r="E82" s="19"/>
      <c r="F82" s="23"/>
      <c r="G82" s="19"/>
      <c r="H82" s="23"/>
      <c r="J82" s="19"/>
      <c r="K82" s="19"/>
      <c r="L82" s="19"/>
      <c r="M82" s="19"/>
      <c r="N82" s="23"/>
      <c r="O82" s="19"/>
      <c r="P82" s="23"/>
    </row>
    <row r="83" spans="1:16" x14ac:dyDescent="0.35">
      <c r="A83" s="24" t="s">
        <v>106</v>
      </c>
      <c r="B83" s="25"/>
      <c r="C83" s="25"/>
      <c r="D83" s="25"/>
      <c r="E83" s="25"/>
      <c r="F83" s="31"/>
      <c r="G83" s="25"/>
      <c r="H83" s="31"/>
      <c r="J83" s="25"/>
      <c r="K83" s="25"/>
      <c r="L83" s="25"/>
      <c r="M83" s="25"/>
      <c r="N83" s="31"/>
      <c r="O83" s="25"/>
      <c r="P83" s="31"/>
    </row>
    <row r="84" spans="1:16" x14ac:dyDescent="0.35">
      <c r="A84" s="24" t="s">
        <v>107</v>
      </c>
      <c r="B84" s="25"/>
      <c r="C84" s="25"/>
      <c r="D84" s="25"/>
      <c r="E84" s="25"/>
      <c r="F84" s="31"/>
      <c r="G84" s="25"/>
      <c r="H84" s="31"/>
      <c r="J84" s="25"/>
      <c r="K84" s="25"/>
      <c r="L84" s="25"/>
      <c r="M84" s="25"/>
      <c r="N84" s="31"/>
      <c r="O84" s="25"/>
      <c r="P84" s="31"/>
    </row>
    <row r="85" spans="1:16" x14ac:dyDescent="0.35">
      <c r="A85" s="24" t="s">
        <v>108</v>
      </c>
      <c r="B85" s="25">
        <f t="shared" ref="B85:H91" si="30">B40/B$47</f>
        <v>5.1257419187544152E-2</v>
      </c>
      <c r="C85" s="25">
        <f t="shared" si="30"/>
        <v>8.6287369257216726E-3</v>
      </c>
      <c r="D85" s="25">
        <f t="shared" si="30"/>
        <v>2.9714516358528866E-2</v>
      </c>
      <c r="E85" s="25">
        <f t="shared" si="30"/>
        <v>1.0171256526357116E-2</v>
      </c>
      <c r="F85" s="31">
        <f t="shared" si="30"/>
        <v>4.4444021975720893E-2</v>
      </c>
      <c r="G85" s="25">
        <f t="shared" si="30"/>
        <v>0.1855448413079509</v>
      </c>
      <c r="H85" s="31">
        <f t="shared" si="30"/>
        <v>5.3751574998658819E-2</v>
      </c>
      <c r="J85" s="25">
        <f t="shared" ref="J85:P91" si="31">J40/J$47</f>
        <v>5.3523913627873121E-2</v>
      </c>
      <c r="K85" s="25">
        <f t="shared" si="31"/>
        <v>8.7329853323464789E-3</v>
      </c>
      <c r="L85" s="25">
        <f t="shared" si="31"/>
        <v>6.7874481139447735E-3</v>
      </c>
      <c r="M85" s="25">
        <f t="shared" si="31"/>
        <v>9.0397430950921679E-3</v>
      </c>
      <c r="N85" s="31">
        <f t="shared" si="31"/>
        <v>4.458181328992402E-2</v>
      </c>
      <c r="O85" s="25">
        <f t="shared" si="31"/>
        <v>0.1854139453364321</v>
      </c>
      <c r="P85" s="31">
        <f t="shared" si="31"/>
        <v>5.2551593283773332E-2</v>
      </c>
    </row>
    <row r="86" spans="1:16" x14ac:dyDescent="0.35">
      <c r="A86" s="24" t="s">
        <v>109</v>
      </c>
      <c r="B86" s="25">
        <f t="shared" si="30"/>
        <v>0.24715746961545437</v>
      </c>
      <c r="C86" s="25">
        <f t="shared" si="30"/>
        <v>0.21984991180169589</v>
      </c>
      <c r="D86" s="25">
        <f t="shared" si="30"/>
        <v>0.21672802808985614</v>
      </c>
      <c r="E86" s="25">
        <f t="shared" si="30"/>
        <v>0.26988924486994764</v>
      </c>
      <c r="F86" s="31">
        <f t="shared" si="30"/>
        <v>0.24396797768524403</v>
      </c>
      <c r="G86" s="25">
        <f t="shared" si="30"/>
        <v>0.1982809602862983</v>
      </c>
      <c r="H86" s="31">
        <f t="shared" si="30"/>
        <v>0.24095428620625031</v>
      </c>
      <c r="J86" s="25">
        <f t="shared" si="31"/>
        <v>0.24323293215497563</v>
      </c>
      <c r="K86" s="25">
        <f t="shared" si="31"/>
        <v>0.21226051730366308</v>
      </c>
      <c r="L86" s="25">
        <f t="shared" si="31"/>
        <v>0.21718847690265972</v>
      </c>
      <c r="M86" s="25">
        <f t="shared" si="31"/>
        <v>0.25146475758826325</v>
      </c>
      <c r="N86" s="31">
        <f t="shared" si="31"/>
        <v>0.23901230334335311</v>
      </c>
      <c r="O86" s="25">
        <f t="shared" si="31"/>
        <v>0.18814449183655482</v>
      </c>
      <c r="P86" s="31">
        <f t="shared" si="31"/>
        <v>0.2361336615122126</v>
      </c>
    </row>
    <row r="87" spans="1:16" x14ac:dyDescent="0.35">
      <c r="A87" s="24" t="s">
        <v>110</v>
      </c>
      <c r="B87" s="25">
        <f t="shared" si="30"/>
        <v>0.16038666985982394</v>
      </c>
      <c r="C87" s="25">
        <f t="shared" si="30"/>
        <v>0.11986818800644253</v>
      </c>
      <c r="D87" s="25">
        <f t="shared" si="30"/>
        <v>6.198473390525245E-2</v>
      </c>
      <c r="E87" s="25">
        <f t="shared" si="30"/>
        <v>0.13775053911797622</v>
      </c>
      <c r="F87" s="31">
        <f t="shared" si="30"/>
        <v>0.15039117767250121</v>
      </c>
      <c r="G87" s="25">
        <f t="shared" si="30"/>
        <v>8.2759828149144857E-2</v>
      </c>
      <c r="H87" s="31">
        <f t="shared" si="30"/>
        <v>0.14592995360108507</v>
      </c>
      <c r="J87" s="25">
        <f t="shared" si="31"/>
        <v>0.12657674588582704</v>
      </c>
      <c r="K87" s="25">
        <f t="shared" si="31"/>
        <v>9.5483137961774378E-2</v>
      </c>
      <c r="L87" s="25">
        <f t="shared" si="31"/>
        <v>5.9911896500471185E-2</v>
      </c>
      <c r="M87" s="25">
        <f t="shared" si="31"/>
        <v>0.10812727776736285</v>
      </c>
      <c r="N87" s="31">
        <f t="shared" si="31"/>
        <v>0.11875438442066263</v>
      </c>
      <c r="O87" s="25">
        <f t="shared" si="31"/>
        <v>5.8366005110521882E-2</v>
      </c>
      <c r="P87" s="31">
        <f t="shared" si="31"/>
        <v>0.11533696759757565</v>
      </c>
    </row>
    <row r="88" spans="1:16" ht="29" x14ac:dyDescent="0.35">
      <c r="A88" s="26" t="s">
        <v>111</v>
      </c>
      <c r="B88" s="25">
        <f t="shared" si="30"/>
        <v>8.2857123482726822E-2</v>
      </c>
      <c r="C88" s="25">
        <f t="shared" si="30"/>
        <v>9.4847435473087077E-2</v>
      </c>
      <c r="D88" s="25">
        <f t="shared" si="30"/>
        <v>0.18968140422342405</v>
      </c>
      <c r="E88" s="25">
        <f t="shared" si="30"/>
        <v>9.7700356400493363E-2</v>
      </c>
      <c r="F88" s="31">
        <f t="shared" si="30"/>
        <v>9.0361095193357763E-2</v>
      </c>
      <c r="G88" s="25">
        <f t="shared" si="30"/>
        <v>6.7102546867668492E-2</v>
      </c>
      <c r="H88" s="31">
        <f t="shared" si="30"/>
        <v>8.8826871842973096E-2</v>
      </c>
      <c r="J88" s="25">
        <f t="shared" si="31"/>
        <v>9.2166604436195496E-2</v>
      </c>
      <c r="K88" s="25">
        <f t="shared" si="31"/>
        <v>8.3136625553180049E-2</v>
      </c>
      <c r="L88" s="25">
        <f t="shared" si="31"/>
        <v>0.13010404647658125</v>
      </c>
      <c r="M88" s="25">
        <f t="shared" si="31"/>
        <v>0.10213968391706572</v>
      </c>
      <c r="N88" s="31">
        <f t="shared" si="31"/>
        <v>9.4058372221508452E-2</v>
      </c>
      <c r="O88" s="25">
        <f t="shared" si="31"/>
        <v>8.6870995147642183E-2</v>
      </c>
      <c r="P88" s="31">
        <f t="shared" si="31"/>
        <v>9.3651633978046836E-2</v>
      </c>
    </row>
    <row r="89" spans="1:16" ht="29" x14ac:dyDescent="0.35">
      <c r="A89" s="26" t="s">
        <v>112</v>
      </c>
      <c r="B89" s="25">
        <f t="shared" si="30"/>
        <v>0.16608659788971228</v>
      </c>
      <c r="C89" s="25">
        <f t="shared" si="30"/>
        <v>0.23857838970263812</v>
      </c>
      <c r="D89" s="25">
        <f t="shared" si="30"/>
        <v>0.23733714138979664</v>
      </c>
      <c r="E89" s="25">
        <f t="shared" si="30"/>
        <v>0.1908672606361913</v>
      </c>
      <c r="F89" s="31">
        <f t="shared" si="30"/>
        <v>0.17763811779922498</v>
      </c>
      <c r="G89" s="25">
        <f t="shared" si="30"/>
        <v>0.1570842552408063</v>
      </c>
      <c r="H89" s="31">
        <f t="shared" si="30"/>
        <v>0.17628230593013711</v>
      </c>
      <c r="J89" s="25">
        <f t="shared" si="31"/>
        <v>0.17234302576532487</v>
      </c>
      <c r="K89" s="25">
        <f t="shared" si="31"/>
        <v>0.24423054165149774</v>
      </c>
      <c r="L89" s="25">
        <f t="shared" si="31"/>
        <v>0.27317538252512308</v>
      </c>
      <c r="M89" s="25">
        <f t="shared" si="31"/>
        <v>0.20363112156299842</v>
      </c>
      <c r="N89" s="31">
        <f t="shared" si="31"/>
        <v>0.18667233559047208</v>
      </c>
      <c r="O89" s="25">
        <f t="shared" si="31"/>
        <v>0.16766143230386266</v>
      </c>
      <c r="P89" s="31">
        <f t="shared" si="31"/>
        <v>0.1855964964728154</v>
      </c>
    </row>
    <row r="90" spans="1:16" x14ac:dyDescent="0.35">
      <c r="A90" s="24" t="s">
        <v>113</v>
      </c>
      <c r="B90" s="25">
        <f t="shared" si="30"/>
        <v>0.25905140686522432</v>
      </c>
      <c r="C90" s="25">
        <f t="shared" si="30"/>
        <v>0.28136666775198133</v>
      </c>
      <c r="D90" s="25">
        <f t="shared" si="30"/>
        <v>0.22427007368675264</v>
      </c>
      <c r="E90" s="25">
        <f t="shared" si="30"/>
        <v>0.25362156623586113</v>
      </c>
      <c r="F90" s="31">
        <f t="shared" si="30"/>
        <v>0.25898846131100811</v>
      </c>
      <c r="G90" s="25">
        <f t="shared" si="30"/>
        <v>0.28756595312659666</v>
      </c>
      <c r="H90" s="31">
        <f t="shared" si="30"/>
        <v>0.26087354264217943</v>
      </c>
      <c r="J90" s="25">
        <f t="shared" si="31"/>
        <v>0.25121899313006985</v>
      </c>
      <c r="K90" s="25">
        <f t="shared" si="31"/>
        <v>0.28604249084963873</v>
      </c>
      <c r="L90" s="25">
        <f t="shared" si="31"/>
        <v>0.25155349441822311</v>
      </c>
      <c r="M90" s="25">
        <f t="shared" si="31"/>
        <v>0.25406063264658174</v>
      </c>
      <c r="N90" s="31">
        <f t="shared" si="31"/>
        <v>0.25466224860568765</v>
      </c>
      <c r="O90" s="25">
        <f t="shared" si="31"/>
        <v>0.28649620152002714</v>
      </c>
      <c r="P90" s="31">
        <f t="shared" si="31"/>
        <v>0.25646375226380208</v>
      </c>
    </row>
    <row r="91" spans="1:16" x14ac:dyDescent="0.35">
      <c r="A91" s="27" t="s">
        <v>114</v>
      </c>
      <c r="B91" s="25">
        <f t="shared" si="30"/>
        <v>3.3203313099514076E-2</v>
      </c>
      <c r="C91" s="25">
        <f t="shared" si="30"/>
        <v>3.6860670338433411E-2</v>
      </c>
      <c r="D91" s="25">
        <f t="shared" si="30"/>
        <v>4.028410234638919E-2</v>
      </c>
      <c r="E91" s="25">
        <f t="shared" si="30"/>
        <v>3.9999776213173209E-2</v>
      </c>
      <c r="F91" s="31">
        <f t="shared" si="30"/>
        <v>3.420914836294299E-2</v>
      </c>
      <c r="G91" s="25">
        <f t="shared" si="30"/>
        <v>2.1661615021534474E-2</v>
      </c>
      <c r="H91" s="31">
        <f t="shared" si="30"/>
        <v>3.3381464778716168E-2</v>
      </c>
      <c r="J91" s="25">
        <f t="shared" si="31"/>
        <v>6.0937784999733964E-2</v>
      </c>
      <c r="K91" s="25">
        <f t="shared" si="31"/>
        <v>7.0113701347899571E-2</v>
      </c>
      <c r="L91" s="25">
        <f t="shared" si="31"/>
        <v>6.127925506299689E-2</v>
      </c>
      <c r="M91" s="25">
        <f t="shared" si="31"/>
        <v>7.1536783422635822E-2</v>
      </c>
      <c r="N91" s="31">
        <f t="shared" si="31"/>
        <v>6.2258542528392101E-2</v>
      </c>
      <c r="O91" s="25">
        <f t="shared" si="31"/>
        <v>2.7046928744959259E-2</v>
      </c>
      <c r="P91" s="31">
        <f t="shared" si="31"/>
        <v>6.0265894891774079E-2</v>
      </c>
    </row>
    <row r="92" spans="1:16" ht="15" thickBot="1" x14ac:dyDescent="0.4">
      <c r="A92" s="28" t="s">
        <v>129</v>
      </c>
      <c r="B92" s="32">
        <f t="shared" ref="B92:H92" si="32">SUM(B83:B91)</f>
        <v>0.99999999999999989</v>
      </c>
      <c r="C92" s="32">
        <f t="shared" si="32"/>
        <v>1</v>
      </c>
      <c r="D92" s="32">
        <f>SUM(D83:D91)</f>
        <v>1</v>
      </c>
      <c r="E92" s="32">
        <f t="shared" si="32"/>
        <v>1</v>
      </c>
      <c r="F92" s="33">
        <f t="shared" si="32"/>
        <v>1</v>
      </c>
      <c r="G92" s="32">
        <f t="shared" si="32"/>
        <v>1</v>
      </c>
      <c r="H92" s="33">
        <f t="shared" si="32"/>
        <v>1</v>
      </c>
      <c r="J92" s="32">
        <f t="shared" ref="J92:P92" si="33">SUM(J83:J91)</f>
        <v>1</v>
      </c>
      <c r="K92" s="32">
        <f t="shared" si="33"/>
        <v>1</v>
      </c>
      <c r="L92" s="32">
        <f t="shared" si="33"/>
        <v>1</v>
      </c>
      <c r="M92" s="32">
        <f t="shared" si="33"/>
        <v>1</v>
      </c>
      <c r="N92" s="33">
        <f t="shared" si="33"/>
        <v>1</v>
      </c>
      <c r="O92" s="32">
        <f t="shared" si="33"/>
        <v>1</v>
      </c>
      <c r="P92" s="33">
        <f t="shared" si="33"/>
        <v>1</v>
      </c>
    </row>
    <row r="93" spans="1:16" ht="15" thickTop="1" x14ac:dyDescent="0.35">
      <c r="B93" s="19"/>
      <c r="C93" s="19"/>
      <c r="D93" s="19"/>
      <c r="E93" s="19"/>
      <c r="F93" s="19"/>
      <c r="G93" s="19"/>
      <c r="H93" s="19"/>
      <c r="J93" s="19"/>
      <c r="K93" s="19"/>
      <c r="L93" s="19"/>
      <c r="M93" s="19"/>
      <c r="N93" s="19"/>
      <c r="O93" s="19"/>
      <c r="P93" s="19"/>
    </row>
    <row r="95" spans="1:16" x14ac:dyDescent="0.35">
      <c r="B95" s="34"/>
      <c r="C95" s="34"/>
      <c r="D95" s="34"/>
      <c r="E95" s="34"/>
      <c r="F95" s="34"/>
      <c r="G95" s="34"/>
      <c r="H95" s="34"/>
      <c r="J95" s="34"/>
      <c r="K95" s="34"/>
      <c r="L95" s="34"/>
      <c r="M95" s="34"/>
      <c r="N95" s="34"/>
      <c r="O95" s="34"/>
      <c r="P95" s="34"/>
    </row>
    <row r="96" spans="1:16" x14ac:dyDescent="0.35">
      <c r="B96" s="34"/>
      <c r="C96" s="34"/>
      <c r="D96" s="34"/>
      <c r="E96" s="34"/>
      <c r="F96" s="34"/>
      <c r="G96" s="34"/>
      <c r="H96" s="34"/>
      <c r="J96" s="34"/>
      <c r="K96" s="34"/>
      <c r="L96" s="34"/>
      <c r="M96" s="34"/>
      <c r="N96" s="34"/>
      <c r="O96" s="34"/>
      <c r="P96" s="34"/>
    </row>
    <row r="97" spans="1:1" x14ac:dyDescent="0.35">
      <c r="A97" s="35" t="s">
        <v>130</v>
      </c>
    </row>
    <row r="98" spans="1:1" x14ac:dyDescent="0.35">
      <c r="A98" s="24" t="s">
        <v>108</v>
      </c>
    </row>
    <row r="99" spans="1:1" x14ac:dyDescent="0.35">
      <c r="A99" s="24" t="s">
        <v>109</v>
      </c>
    </row>
    <row r="100" spans="1:1" x14ac:dyDescent="0.35">
      <c r="A100" s="24" t="s">
        <v>110</v>
      </c>
    </row>
    <row r="101" spans="1:1" ht="29" x14ac:dyDescent="0.35">
      <c r="A101" s="26" t="s">
        <v>111</v>
      </c>
    </row>
    <row r="102" spans="1:1" ht="29" x14ac:dyDescent="0.35">
      <c r="A102" s="26" t="s">
        <v>112</v>
      </c>
    </row>
    <row r="103" spans="1:1" x14ac:dyDescent="0.35">
      <c r="A103" s="24" t="s">
        <v>113</v>
      </c>
    </row>
    <row r="104" spans="1:1" x14ac:dyDescent="0.35">
      <c r="A104" s="27" t="s">
        <v>114</v>
      </c>
    </row>
  </sheetData>
  <mergeCells count="12">
    <mergeCell ref="B80:H80"/>
    <mergeCell ref="J80:P80"/>
    <mergeCell ref="B66:H66"/>
    <mergeCell ref="J66:P66"/>
    <mergeCell ref="B51:H51"/>
    <mergeCell ref="J51:P51"/>
    <mergeCell ref="B35:H35"/>
    <mergeCell ref="J35:P35"/>
    <mergeCell ref="B21:H21"/>
    <mergeCell ref="J21:P21"/>
    <mergeCell ref="B6:H6"/>
    <mergeCell ref="J6:P6"/>
  </mergeCells>
  <pageMargins left="0.2" right="0.2" top="0.25" bottom="0.25" header="0.3" footer="0.3"/>
  <pageSetup paperSize="5" scale="61" fitToHeight="3" orientation="landscape" horizontalDpi="90" verticalDpi="90" r:id="rId1"/>
  <rowBreaks count="1" manualBreakCount="1">
    <brk id="4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631823-E4DE-46E8-A88E-0B16C6EF6411}">
  <sheetPr>
    <tabColor rgb="FFFF0000"/>
  </sheetPr>
  <dimension ref="A1:J56"/>
  <sheetViews>
    <sheetView view="pageLayout" zoomScaleNormal="100" workbookViewId="0">
      <selection activeCell="E10" sqref="E10:E11"/>
    </sheetView>
  </sheetViews>
  <sheetFormatPr defaultRowHeight="14.5" x14ac:dyDescent="0.35"/>
  <cols>
    <col min="1" max="1" width="10.7265625" bestFit="1" customWidth="1"/>
    <col min="2" max="2" width="34.453125" bestFit="1" customWidth="1"/>
    <col min="3" max="3" width="14.81640625" bestFit="1" customWidth="1"/>
    <col min="4" max="4" width="20.54296875" bestFit="1" customWidth="1"/>
    <col min="5" max="5" width="13.54296875" bestFit="1" customWidth="1"/>
    <col min="6" max="6" width="12.54296875" bestFit="1" customWidth="1"/>
    <col min="10" max="10" width="9.54296875" bestFit="1" customWidth="1"/>
    <col min="15" max="19" width="16.81640625" bestFit="1" customWidth="1"/>
    <col min="20" max="20" width="6.54296875" bestFit="1" customWidth="1"/>
    <col min="21" max="21" width="15.26953125" bestFit="1" customWidth="1"/>
    <col min="22" max="27" width="14.26953125" bestFit="1" customWidth="1"/>
    <col min="28" max="28" width="13.26953125" bestFit="1" customWidth="1"/>
    <col min="29" max="29" width="14.26953125" bestFit="1" customWidth="1"/>
    <col min="30" max="39" width="16.81640625" bestFit="1" customWidth="1"/>
    <col min="40" max="42" width="14.26953125" bestFit="1" customWidth="1"/>
    <col min="43" max="44" width="15" bestFit="1" customWidth="1"/>
  </cols>
  <sheetData>
    <row r="1" spans="1:4" x14ac:dyDescent="0.35">
      <c r="A1" s="36" t="s">
        <v>133</v>
      </c>
    </row>
    <row r="2" spans="1:4" x14ac:dyDescent="0.35">
      <c r="A2" s="1" t="s">
        <v>96</v>
      </c>
    </row>
    <row r="6" spans="1:4" x14ac:dyDescent="0.35">
      <c r="A6" s="4" t="s">
        <v>48</v>
      </c>
      <c r="B6" s="4" t="s">
        <v>49</v>
      </c>
      <c r="C6" s="2" t="s">
        <v>50</v>
      </c>
      <c r="D6" s="2" t="s">
        <v>51</v>
      </c>
    </row>
    <row r="7" spans="1:4" x14ac:dyDescent="0.35">
      <c r="A7" t="s">
        <v>52</v>
      </c>
      <c r="B7" t="s">
        <v>53</v>
      </c>
      <c r="C7" s="5">
        <v>45067</v>
      </c>
      <c r="D7" s="5">
        <v>3431</v>
      </c>
    </row>
    <row r="8" spans="1:4" x14ac:dyDescent="0.35">
      <c r="A8" t="s">
        <v>52</v>
      </c>
      <c r="B8" t="s">
        <v>54</v>
      </c>
      <c r="C8" s="5">
        <v>300835.99999999994</v>
      </c>
      <c r="D8" s="5">
        <v>19678</v>
      </c>
    </row>
    <row r="9" spans="1:4" x14ac:dyDescent="0.35">
      <c r="A9" t="s">
        <v>52</v>
      </c>
      <c r="B9" t="s">
        <v>55</v>
      </c>
      <c r="C9" s="6">
        <f>C8/C7</f>
        <v>6.6753056560232533</v>
      </c>
      <c r="D9" s="6">
        <f>D8/D7</f>
        <v>5.7353541241620523</v>
      </c>
    </row>
    <row r="10" spans="1:4" x14ac:dyDescent="0.35">
      <c r="A10" t="s">
        <v>56</v>
      </c>
      <c r="B10" t="s">
        <v>57</v>
      </c>
      <c r="C10" s="7">
        <v>1.8010601328430977</v>
      </c>
      <c r="D10" s="7">
        <v>1.3967544191919181</v>
      </c>
    </row>
    <row r="11" spans="1:4" x14ac:dyDescent="0.35">
      <c r="A11" t="s">
        <v>56</v>
      </c>
      <c r="B11" t="s">
        <v>58</v>
      </c>
      <c r="C11" s="7">
        <v>1.7832012348164754</v>
      </c>
      <c r="D11" s="7">
        <v>1.4232480187848551</v>
      </c>
    </row>
    <row r="12" spans="1:4" x14ac:dyDescent="0.35">
      <c r="A12" t="s">
        <v>52</v>
      </c>
      <c r="B12" t="s">
        <v>59</v>
      </c>
      <c r="C12" s="5">
        <v>1127728</v>
      </c>
      <c r="D12" s="5">
        <v>31639</v>
      </c>
    </row>
    <row r="13" spans="1:4" x14ac:dyDescent="0.35">
      <c r="A13" t="s">
        <v>52</v>
      </c>
      <c r="B13" t="s">
        <v>60</v>
      </c>
      <c r="C13" s="5">
        <v>137107</v>
      </c>
      <c r="D13" s="5">
        <v>29831</v>
      </c>
    </row>
    <row r="15" spans="1:4" x14ac:dyDescent="0.35">
      <c r="C15" s="5"/>
    </row>
    <row r="16" spans="1:4" x14ac:dyDescent="0.35">
      <c r="A16" t="s">
        <v>61</v>
      </c>
      <c r="B16" t="s">
        <v>62</v>
      </c>
      <c r="C16" s="5">
        <v>823</v>
      </c>
      <c r="D16" s="5">
        <v>79</v>
      </c>
    </row>
    <row r="17" spans="1:6" x14ac:dyDescent="0.35">
      <c r="A17" t="s">
        <v>61</v>
      </c>
      <c r="B17" t="s">
        <v>63</v>
      </c>
      <c r="C17" s="5">
        <v>825.25</v>
      </c>
      <c r="D17" s="5">
        <v>75.75</v>
      </c>
    </row>
    <row r="18" spans="1:6" x14ac:dyDescent="0.35">
      <c r="A18" t="s">
        <v>61</v>
      </c>
      <c r="B18" t="s">
        <v>64</v>
      </c>
      <c r="C18" s="5">
        <v>825.25</v>
      </c>
      <c r="D18" s="5">
        <v>75.75</v>
      </c>
    </row>
    <row r="19" spans="1:6" x14ac:dyDescent="0.35">
      <c r="A19" t="s">
        <v>61</v>
      </c>
      <c r="B19" t="s">
        <v>65</v>
      </c>
      <c r="C19" s="8">
        <f>C8/366/C17</f>
        <v>0.99600882660164225</v>
      </c>
      <c r="D19" s="8">
        <f>D8/366/D17</f>
        <v>0.70976933758949667</v>
      </c>
    </row>
    <row r="20" spans="1:6" hidden="1" x14ac:dyDescent="0.35">
      <c r="A20" t="s">
        <v>61</v>
      </c>
      <c r="B20" t="s">
        <v>66</v>
      </c>
      <c r="C20" s="9"/>
      <c r="D20" s="10"/>
      <c r="E20" t="s">
        <v>67</v>
      </c>
    </row>
    <row r="22" spans="1:6" x14ac:dyDescent="0.35">
      <c r="C22" s="5"/>
    </row>
    <row r="23" spans="1:6" x14ac:dyDescent="0.35">
      <c r="B23" s="1" t="s">
        <v>68</v>
      </c>
    </row>
    <row r="24" spans="1:6" x14ac:dyDescent="0.35">
      <c r="A24" t="s">
        <v>69</v>
      </c>
      <c r="B24" t="s">
        <v>70</v>
      </c>
      <c r="C24" s="5">
        <v>3194267475</v>
      </c>
      <c r="D24" s="5">
        <v>117279934.73</v>
      </c>
      <c r="E24" s="5"/>
      <c r="F24" s="5"/>
    </row>
    <row r="25" spans="1:6" x14ac:dyDescent="0.35">
      <c r="A25" t="s">
        <v>69</v>
      </c>
      <c r="B25" t="s">
        <v>71</v>
      </c>
      <c r="C25" s="5">
        <v>5183525431.5700006</v>
      </c>
      <c r="D25" s="5">
        <v>304177175.22000003</v>
      </c>
      <c r="E25" s="5"/>
      <c r="F25" s="5"/>
    </row>
    <row r="26" spans="1:6" ht="15" thickBot="1" x14ac:dyDescent="0.4">
      <c r="A26" t="s">
        <v>69</v>
      </c>
      <c r="B26" s="11" t="s">
        <v>72</v>
      </c>
      <c r="C26" s="12">
        <f>C24+C25</f>
        <v>8377792906.5700006</v>
      </c>
      <c r="D26" s="12">
        <f>+D24+D25</f>
        <v>421457109.95000005</v>
      </c>
    </row>
    <row r="27" spans="1:6" ht="15" thickTop="1" x14ac:dyDescent="0.35"/>
    <row r="29" spans="1:6" x14ac:dyDescent="0.35">
      <c r="B29" s="1" t="s">
        <v>73</v>
      </c>
    </row>
    <row r="30" spans="1:6" x14ac:dyDescent="0.35">
      <c r="A30" t="s">
        <v>69</v>
      </c>
      <c r="B30" t="s">
        <v>70</v>
      </c>
      <c r="C30" s="5">
        <v>805025945.53296602</v>
      </c>
      <c r="D30" s="5">
        <v>40833871.776344009</v>
      </c>
      <c r="E30" s="5"/>
    </row>
    <row r="31" spans="1:6" x14ac:dyDescent="0.35">
      <c r="A31" t="s">
        <v>69</v>
      </c>
      <c r="B31" t="s">
        <v>71</v>
      </c>
      <c r="C31" s="5">
        <v>1501853707.4970338</v>
      </c>
      <c r="D31" s="5">
        <v>59189319.39365606</v>
      </c>
    </row>
    <row r="32" spans="1:6" ht="15" thickBot="1" x14ac:dyDescent="0.4">
      <c r="A32" t="s">
        <v>69</v>
      </c>
      <c r="B32" s="11" t="s">
        <v>74</v>
      </c>
      <c r="C32" s="12">
        <f>C30+C31</f>
        <v>2306879653.0299997</v>
      </c>
      <c r="D32" s="12">
        <f>D30+D31</f>
        <v>100023191.17000008</v>
      </c>
    </row>
    <row r="33" spans="1:10" ht="15" thickTop="1" x14ac:dyDescent="0.35"/>
    <row r="34" spans="1:10" x14ac:dyDescent="0.35">
      <c r="A34" t="s">
        <v>69</v>
      </c>
      <c r="B34" t="s">
        <v>75</v>
      </c>
      <c r="C34" s="5">
        <v>536464108.11000001</v>
      </c>
      <c r="D34" s="5">
        <v>22808359.899999999</v>
      </c>
    </row>
    <row r="35" spans="1:10" hidden="1" x14ac:dyDescent="0.35">
      <c r="A35" t="s">
        <v>69</v>
      </c>
      <c r="B35" t="s">
        <v>76</v>
      </c>
      <c r="C35" s="13"/>
      <c r="D35" s="13"/>
      <c r="E35" t="s">
        <v>77</v>
      </c>
    </row>
    <row r="36" spans="1:10" x14ac:dyDescent="0.35">
      <c r="C36" s="5"/>
      <c r="D36" s="5"/>
    </row>
    <row r="37" spans="1:10" x14ac:dyDescent="0.35">
      <c r="A37" t="s">
        <v>78</v>
      </c>
      <c r="B37" t="s">
        <v>79</v>
      </c>
      <c r="C37" s="5">
        <v>2957157789.79</v>
      </c>
      <c r="D37" s="5">
        <v>125395594.15000001</v>
      </c>
    </row>
    <row r="38" spans="1:10" x14ac:dyDescent="0.35">
      <c r="A38" t="s">
        <v>78</v>
      </c>
      <c r="B38" t="s">
        <v>80</v>
      </c>
      <c r="C38" s="5">
        <v>0</v>
      </c>
      <c r="D38" s="5">
        <v>0</v>
      </c>
    </row>
    <row r="39" spans="1:10" x14ac:dyDescent="0.35">
      <c r="A39" t="s">
        <v>78</v>
      </c>
      <c r="B39" t="s">
        <v>81</v>
      </c>
      <c r="C39" s="5">
        <v>10228387.09</v>
      </c>
      <c r="D39" s="5">
        <v>4187487.6</v>
      </c>
    </row>
    <row r="40" spans="1:10" x14ac:dyDescent="0.35">
      <c r="A40" t="s">
        <v>78</v>
      </c>
      <c r="B40" t="s">
        <v>82</v>
      </c>
      <c r="C40" s="5">
        <f>C37+C38+C39</f>
        <v>2967386176.8800001</v>
      </c>
      <c r="D40" s="5">
        <f>D37+D38+D39</f>
        <v>129583081.75</v>
      </c>
    </row>
    <row r="41" spans="1:10" x14ac:dyDescent="0.35">
      <c r="A41" t="s">
        <v>78</v>
      </c>
      <c r="B41" t="s">
        <v>83</v>
      </c>
      <c r="C41" s="5">
        <v>2890247386.2199998</v>
      </c>
      <c r="D41" s="5">
        <v>123405935.84999999</v>
      </c>
    </row>
    <row r="42" spans="1:10" x14ac:dyDescent="0.35">
      <c r="A42" t="s">
        <v>78</v>
      </c>
      <c r="B42" t="s">
        <v>84</v>
      </c>
      <c r="C42" s="5">
        <f>C40-C41</f>
        <v>77138790.660000324</v>
      </c>
      <c r="D42" s="5">
        <f>D40-D41</f>
        <v>6177145.900000006</v>
      </c>
    </row>
    <row r="43" spans="1:10" x14ac:dyDescent="0.35">
      <c r="A43" t="s">
        <v>78</v>
      </c>
      <c r="B43" t="s">
        <v>85</v>
      </c>
      <c r="C43" s="14">
        <f>(C37-C41)/(C37+C38)</f>
        <v>2.2626592264037342E-2</v>
      </c>
      <c r="D43" s="14">
        <f>(D37-D41)/(D37+D38)</f>
        <v>1.586705109925915E-2</v>
      </c>
      <c r="J43" s="10"/>
    </row>
    <row r="44" spans="1:10" x14ac:dyDescent="0.35">
      <c r="A44" t="s">
        <v>78</v>
      </c>
      <c r="B44" t="s">
        <v>86</v>
      </c>
      <c r="C44" s="14">
        <f>C39/(C40-C41)</f>
        <v>0.13259719270273504</v>
      </c>
      <c r="D44" s="14">
        <f>D39/(D40-D41)</f>
        <v>0.6779000638466377</v>
      </c>
      <c r="J44" s="10"/>
    </row>
    <row r="45" spans="1:10" x14ac:dyDescent="0.35">
      <c r="A45" t="s">
        <v>78</v>
      </c>
      <c r="B45" t="s">
        <v>87</v>
      </c>
      <c r="C45" s="14">
        <f>(C40-C41)/C40</f>
        <v>2.5995534811416556E-2</v>
      </c>
      <c r="D45" s="14">
        <f>(D40-D41)/D40</f>
        <v>4.7669385668087073E-2</v>
      </c>
    </row>
    <row r="46" spans="1:10" x14ac:dyDescent="0.35">
      <c r="C46" s="5"/>
      <c r="D46" s="5"/>
    </row>
    <row r="47" spans="1:10" x14ac:dyDescent="0.35">
      <c r="C47" s="5"/>
      <c r="D47" s="5"/>
    </row>
    <row r="48" spans="1:10" x14ac:dyDescent="0.35">
      <c r="C48" s="5"/>
      <c r="D48" s="5"/>
    </row>
    <row r="49" spans="1:5" x14ac:dyDescent="0.35">
      <c r="A49" t="s">
        <v>88</v>
      </c>
      <c r="B49" t="s">
        <v>89</v>
      </c>
      <c r="C49" s="5">
        <v>324778721.38999999</v>
      </c>
      <c r="D49" s="5">
        <v>62217463.770000003</v>
      </c>
    </row>
    <row r="50" spans="1:5" x14ac:dyDescent="0.35">
      <c r="A50" t="s">
        <v>88</v>
      </c>
      <c r="B50" t="s">
        <v>90</v>
      </c>
      <c r="C50" s="6">
        <v>0.91075551264078436</v>
      </c>
      <c r="D50" s="6">
        <v>1.1508093820782377</v>
      </c>
    </row>
    <row r="51" spans="1:5" hidden="1" x14ac:dyDescent="0.35">
      <c r="A51" t="s">
        <v>88</v>
      </c>
      <c r="B51" t="s">
        <v>91</v>
      </c>
      <c r="E51" t="s">
        <v>93</v>
      </c>
    </row>
    <row r="52" spans="1:5" hidden="1" x14ac:dyDescent="0.35">
      <c r="A52" t="s">
        <v>88</v>
      </c>
      <c r="B52" t="s">
        <v>92</v>
      </c>
      <c r="E52" t="s">
        <v>93</v>
      </c>
    </row>
    <row r="53" spans="1:5" x14ac:dyDescent="0.35">
      <c r="A53" t="s">
        <v>88</v>
      </c>
      <c r="B53" t="s">
        <v>94</v>
      </c>
      <c r="C53" s="8">
        <v>0.20940873074949826</v>
      </c>
      <c r="D53" s="8">
        <v>0.40227455484654767</v>
      </c>
    </row>
    <row r="54" spans="1:5" x14ac:dyDescent="0.35">
      <c r="A54" t="s">
        <v>88</v>
      </c>
      <c r="B54" t="s">
        <v>95</v>
      </c>
      <c r="C54" s="15">
        <v>10.685119651949702</v>
      </c>
      <c r="D54" s="15">
        <v>11.560077702742236</v>
      </c>
    </row>
    <row r="56" spans="1:5" x14ac:dyDescent="0.35">
      <c r="B56" s="16"/>
    </row>
  </sheetData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1746E4-7D2C-489C-B2FD-79D02D4A47C1}">
  <sheetPr>
    <tabColor theme="4" tint="0.79998168889431442"/>
  </sheetPr>
  <dimension ref="A1:B40"/>
  <sheetViews>
    <sheetView workbookViewId="0">
      <selection activeCell="A3" sqref="A3:XFD3"/>
    </sheetView>
  </sheetViews>
  <sheetFormatPr defaultRowHeight="14.5" x14ac:dyDescent="0.35"/>
  <cols>
    <col min="1" max="1" width="88.1796875" bestFit="1" customWidth="1"/>
  </cols>
  <sheetData>
    <row r="1" spans="1:2" x14ac:dyDescent="0.35">
      <c r="A1" s="1" t="s">
        <v>0</v>
      </c>
    </row>
    <row r="2" spans="1:2" x14ac:dyDescent="0.35">
      <c r="A2" s="1" t="s">
        <v>1</v>
      </c>
    </row>
    <row r="5" spans="1:2" x14ac:dyDescent="0.35">
      <c r="A5" s="1" t="s">
        <v>2</v>
      </c>
    </row>
    <row r="6" spans="1:2" x14ac:dyDescent="0.35">
      <c r="A6" s="1" t="s">
        <v>3</v>
      </c>
      <c r="B6" s="2" t="s">
        <v>4</v>
      </c>
    </row>
    <row r="7" spans="1:2" x14ac:dyDescent="0.35">
      <c r="A7" t="s">
        <v>5</v>
      </c>
      <c r="B7">
        <v>2260</v>
      </c>
    </row>
    <row r="8" spans="1:2" x14ac:dyDescent="0.35">
      <c r="A8" t="s">
        <v>6</v>
      </c>
      <c r="B8">
        <v>1933</v>
      </c>
    </row>
    <row r="9" spans="1:2" x14ac:dyDescent="0.35">
      <c r="A9" t="s">
        <v>7</v>
      </c>
      <c r="B9">
        <v>1925</v>
      </c>
    </row>
    <row r="10" spans="1:2" x14ac:dyDescent="0.35">
      <c r="A10" t="s">
        <v>8</v>
      </c>
      <c r="B10">
        <v>819</v>
      </c>
    </row>
    <row r="11" spans="1:2" x14ac:dyDescent="0.35">
      <c r="A11" t="s">
        <v>9</v>
      </c>
      <c r="B11">
        <v>797</v>
      </c>
    </row>
    <row r="12" spans="1:2" x14ac:dyDescent="0.35">
      <c r="A12" t="s">
        <v>10</v>
      </c>
      <c r="B12">
        <v>691</v>
      </c>
    </row>
    <row r="13" spans="1:2" x14ac:dyDescent="0.35">
      <c r="A13" t="s">
        <v>11</v>
      </c>
      <c r="B13">
        <v>671</v>
      </c>
    </row>
    <row r="14" spans="1:2" x14ac:dyDescent="0.35">
      <c r="A14" t="s">
        <v>12</v>
      </c>
      <c r="B14">
        <v>593</v>
      </c>
    </row>
    <row r="15" spans="1:2" x14ac:dyDescent="0.35">
      <c r="A15" t="s">
        <v>13</v>
      </c>
      <c r="B15">
        <v>545</v>
      </c>
    </row>
    <row r="16" spans="1:2" x14ac:dyDescent="0.35">
      <c r="A16" t="s">
        <v>14</v>
      </c>
      <c r="B16">
        <v>512</v>
      </c>
    </row>
    <row r="17" spans="1:2" x14ac:dyDescent="0.35">
      <c r="A17" t="s">
        <v>15</v>
      </c>
      <c r="B17">
        <v>437</v>
      </c>
    </row>
    <row r="18" spans="1:2" x14ac:dyDescent="0.35">
      <c r="A18" t="s">
        <v>16</v>
      </c>
      <c r="B18">
        <v>422</v>
      </c>
    </row>
    <row r="19" spans="1:2" x14ac:dyDescent="0.35">
      <c r="A19" t="s">
        <v>17</v>
      </c>
      <c r="B19">
        <v>405</v>
      </c>
    </row>
    <row r="20" spans="1:2" x14ac:dyDescent="0.35">
      <c r="A20" t="s">
        <v>18</v>
      </c>
      <c r="B20">
        <v>376</v>
      </c>
    </row>
    <row r="21" spans="1:2" x14ac:dyDescent="0.35">
      <c r="A21" t="s">
        <v>19</v>
      </c>
      <c r="B21">
        <v>373</v>
      </c>
    </row>
    <row r="24" spans="1:2" x14ac:dyDescent="0.35">
      <c r="A24" s="1" t="s">
        <v>20</v>
      </c>
    </row>
    <row r="25" spans="1:2" x14ac:dyDescent="0.35">
      <c r="A25" s="1" t="s">
        <v>3</v>
      </c>
      <c r="B25" s="2" t="s">
        <v>4</v>
      </c>
    </row>
    <row r="26" spans="1:2" x14ac:dyDescent="0.35">
      <c r="A26" t="s">
        <v>10</v>
      </c>
      <c r="B26">
        <v>416</v>
      </c>
    </row>
    <row r="27" spans="1:2" x14ac:dyDescent="0.35">
      <c r="A27" t="s">
        <v>6</v>
      </c>
      <c r="B27">
        <v>255</v>
      </c>
    </row>
    <row r="28" spans="1:2" x14ac:dyDescent="0.35">
      <c r="A28" t="s">
        <v>8</v>
      </c>
      <c r="B28">
        <v>211</v>
      </c>
    </row>
    <row r="29" spans="1:2" x14ac:dyDescent="0.35">
      <c r="A29" t="s">
        <v>12</v>
      </c>
      <c r="B29">
        <v>161</v>
      </c>
    </row>
    <row r="30" spans="1:2" x14ac:dyDescent="0.35">
      <c r="A30" t="s">
        <v>13</v>
      </c>
      <c r="B30">
        <v>153</v>
      </c>
    </row>
    <row r="31" spans="1:2" x14ac:dyDescent="0.35">
      <c r="A31" t="s">
        <v>16</v>
      </c>
      <c r="B31">
        <v>82</v>
      </c>
    </row>
    <row r="32" spans="1:2" x14ac:dyDescent="0.35">
      <c r="A32" t="s">
        <v>21</v>
      </c>
      <c r="B32">
        <v>77</v>
      </c>
    </row>
    <row r="33" spans="1:2" x14ac:dyDescent="0.35">
      <c r="A33" t="s">
        <v>22</v>
      </c>
      <c r="B33">
        <v>77</v>
      </c>
    </row>
    <row r="34" spans="1:2" x14ac:dyDescent="0.35">
      <c r="A34" t="s">
        <v>23</v>
      </c>
      <c r="B34">
        <v>61</v>
      </c>
    </row>
    <row r="35" spans="1:2" x14ac:dyDescent="0.35">
      <c r="A35" t="s">
        <v>24</v>
      </c>
      <c r="B35">
        <v>59</v>
      </c>
    </row>
    <row r="36" spans="1:2" x14ac:dyDescent="0.35">
      <c r="A36" t="s">
        <v>25</v>
      </c>
      <c r="B36">
        <v>54</v>
      </c>
    </row>
    <row r="37" spans="1:2" x14ac:dyDescent="0.35">
      <c r="A37" t="s">
        <v>26</v>
      </c>
      <c r="B37">
        <v>51</v>
      </c>
    </row>
    <row r="38" spans="1:2" x14ac:dyDescent="0.35">
      <c r="A38" t="s">
        <v>27</v>
      </c>
      <c r="B38">
        <v>49</v>
      </c>
    </row>
    <row r="39" spans="1:2" x14ac:dyDescent="0.35">
      <c r="A39" t="s">
        <v>28</v>
      </c>
      <c r="B39">
        <v>44</v>
      </c>
    </row>
    <row r="40" spans="1:2" x14ac:dyDescent="0.35">
      <c r="A40" t="s">
        <v>17</v>
      </c>
      <c r="B40">
        <v>42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E364EA-EA69-4143-AEC3-350B71A14B67}">
  <sheetPr>
    <tabColor theme="4" tint="0.79998168889431442"/>
  </sheetPr>
  <dimension ref="A1:B29"/>
  <sheetViews>
    <sheetView workbookViewId="0">
      <selection activeCell="A3" sqref="A3:XFD3"/>
    </sheetView>
  </sheetViews>
  <sheetFormatPr defaultRowHeight="14.5" x14ac:dyDescent="0.35"/>
  <cols>
    <col min="1" max="1" width="30.7265625" bestFit="1" customWidth="1"/>
    <col min="2" max="2" width="10.54296875" bestFit="1" customWidth="1"/>
  </cols>
  <sheetData>
    <row r="1" spans="1:2" x14ac:dyDescent="0.35">
      <c r="A1" s="1" t="s">
        <v>29</v>
      </c>
    </row>
    <row r="2" spans="1:2" x14ac:dyDescent="0.35">
      <c r="A2" s="1" t="s">
        <v>1</v>
      </c>
    </row>
    <row r="4" spans="1:2" x14ac:dyDescent="0.35">
      <c r="A4" s="1" t="s">
        <v>2</v>
      </c>
    </row>
    <row r="5" spans="1:2" x14ac:dyDescent="0.35">
      <c r="A5" s="1" t="s">
        <v>30</v>
      </c>
      <c r="B5" s="2" t="s">
        <v>4</v>
      </c>
    </row>
    <row r="6" spans="1:2" x14ac:dyDescent="0.35">
      <c r="A6" t="s">
        <v>31</v>
      </c>
      <c r="B6" s="3">
        <v>14297</v>
      </c>
    </row>
    <row r="7" spans="1:2" x14ac:dyDescent="0.35">
      <c r="A7" t="s">
        <v>32</v>
      </c>
      <c r="B7" s="3">
        <v>2011</v>
      </c>
    </row>
    <row r="8" spans="1:2" x14ac:dyDescent="0.35">
      <c r="A8" t="s">
        <v>33</v>
      </c>
      <c r="B8" s="3">
        <v>1386</v>
      </c>
    </row>
    <row r="9" spans="1:2" x14ac:dyDescent="0.35">
      <c r="A9" t="s">
        <v>34</v>
      </c>
      <c r="B9" s="3">
        <v>1304</v>
      </c>
    </row>
    <row r="10" spans="1:2" x14ac:dyDescent="0.35">
      <c r="A10" t="s">
        <v>35</v>
      </c>
      <c r="B10" s="3">
        <v>1259</v>
      </c>
    </row>
    <row r="11" spans="1:2" x14ac:dyDescent="0.35">
      <c r="A11" t="s">
        <v>36</v>
      </c>
      <c r="B11" s="3">
        <v>1087</v>
      </c>
    </row>
    <row r="12" spans="1:2" x14ac:dyDescent="0.35">
      <c r="A12" t="s">
        <v>37</v>
      </c>
      <c r="B12" s="3">
        <v>953</v>
      </c>
    </row>
    <row r="13" spans="1:2" x14ac:dyDescent="0.35">
      <c r="A13" t="s">
        <v>38</v>
      </c>
      <c r="B13" s="3">
        <v>855</v>
      </c>
    </row>
    <row r="14" spans="1:2" x14ac:dyDescent="0.35">
      <c r="A14" t="s">
        <v>39</v>
      </c>
      <c r="B14" s="3">
        <v>845</v>
      </c>
    </row>
    <row r="15" spans="1:2" x14ac:dyDescent="0.35">
      <c r="A15" t="s">
        <v>40</v>
      </c>
      <c r="B15" s="3">
        <v>831</v>
      </c>
    </row>
    <row r="17" spans="1:2" x14ac:dyDescent="0.35">
      <c r="A17" s="1" t="s">
        <v>20</v>
      </c>
    </row>
    <row r="18" spans="1:2" x14ac:dyDescent="0.35">
      <c r="A18" s="1" t="s">
        <v>30</v>
      </c>
      <c r="B18" s="2" t="s">
        <v>4</v>
      </c>
    </row>
    <row r="19" spans="1:2" x14ac:dyDescent="0.35">
      <c r="A19" t="s">
        <v>35</v>
      </c>
      <c r="B19" s="3">
        <v>1510</v>
      </c>
    </row>
    <row r="20" spans="1:2" x14ac:dyDescent="0.35">
      <c r="A20" t="s">
        <v>41</v>
      </c>
      <c r="B20" s="3">
        <v>623</v>
      </c>
    </row>
    <row r="21" spans="1:2" x14ac:dyDescent="0.35">
      <c r="A21" t="s">
        <v>42</v>
      </c>
      <c r="B21" s="3">
        <v>172</v>
      </c>
    </row>
    <row r="22" spans="1:2" x14ac:dyDescent="0.35">
      <c r="A22" t="s">
        <v>37</v>
      </c>
      <c r="B22" s="3">
        <v>147</v>
      </c>
    </row>
    <row r="23" spans="1:2" x14ac:dyDescent="0.35">
      <c r="A23" t="s">
        <v>31</v>
      </c>
      <c r="B23" s="3">
        <v>119</v>
      </c>
    </row>
    <row r="24" spans="1:2" x14ac:dyDescent="0.35">
      <c r="A24" t="s">
        <v>43</v>
      </c>
      <c r="B24" s="3">
        <v>79</v>
      </c>
    </row>
    <row r="25" spans="1:2" x14ac:dyDescent="0.35">
      <c r="A25" t="s">
        <v>44</v>
      </c>
      <c r="B25" s="3">
        <v>67</v>
      </c>
    </row>
    <row r="26" spans="1:2" x14ac:dyDescent="0.35">
      <c r="A26" t="s">
        <v>45</v>
      </c>
      <c r="B26" s="3">
        <v>62</v>
      </c>
    </row>
    <row r="27" spans="1:2" x14ac:dyDescent="0.35">
      <c r="A27" t="s">
        <v>46</v>
      </c>
      <c r="B27" s="3">
        <v>57</v>
      </c>
    </row>
    <row r="28" spans="1:2" x14ac:dyDescent="0.35">
      <c r="A28" t="s">
        <v>32</v>
      </c>
      <c r="B28" s="3">
        <v>48</v>
      </c>
    </row>
    <row r="29" spans="1:2" x14ac:dyDescent="0.35">
      <c r="A29" t="s">
        <v>47</v>
      </c>
      <c r="B29" s="3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Hospital Only Payor Mix</vt:lpstr>
      <vt:lpstr>Data Request Summary</vt:lpstr>
      <vt:lpstr>Top15 DRGs</vt:lpstr>
      <vt:lpstr>Top 10 Community Discharges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Marks, Brett (DPH)</cp:lastModifiedBy>
  <dcterms:created xsi:type="dcterms:W3CDTF">1900-01-01T06:00:00Z</dcterms:created>
  <dcterms:modified xsi:type="dcterms:W3CDTF">2025-04-08T12:57:51Z</dcterms:modified>
</cp:coreProperties>
</file>