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20" yWindow="360" windowWidth="17955" windowHeight="11535" tabRatio="875"/>
  </bookViews>
  <sheets>
    <sheet name="Calculator" sheetId="12" r:id="rId1"/>
    <sheet name="Tables" sheetId="15" state="hidden" r:id="rId2"/>
    <sheet name="Eversource" sheetId="21" r:id="rId3"/>
    <sheet name="Unitil" sheetId="9" r:id="rId4"/>
    <sheet name="VOE" sheetId="19" state="hidden" r:id="rId5"/>
    <sheet name="National Grid" sheetId="20" r:id="rId6"/>
    <sheet name="Basic Service Rates" sheetId="11" r:id="rId7"/>
    <sheet name="Base Compensation Rates" sheetId="13" r:id="rId8"/>
    <sheet name="Compensation Rate Adders" sheetId="14" r:id="rId9"/>
    <sheet name="Base rates" sheetId="16" state="hidden" r:id="rId10"/>
    <sheet name="Adders" sheetId="18" state="hidden" r:id="rId11"/>
  </sheets>
  <externalReferences>
    <externalReference r:id="rId12"/>
  </externalReferences>
  <definedNames>
    <definedName name="Cambridge" localSheetId="2">[1]!Table16[Cambridge]</definedName>
    <definedName name="Cambridge">Table16[Cambridge]</definedName>
    <definedName name="CapacityBlock" localSheetId="2">[1]!Table5[Capacity Block]</definedName>
    <definedName name="CapacityBlock">Table5[Capacity Block]</definedName>
    <definedName name="EasternMass" localSheetId="2">[1]!Table6[EasernMass]</definedName>
    <definedName name="EasternMass">Table6[EasernMass]</definedName>
    <definedName name="EDC" localSheetId="2">[1]!Table1[Electric Distribution Company]</definedName>
    <definedName name="EDC">Table1[Electric Distribution Company]</definedName>
    <definedName name="Eversource" localSheetId="2">[1]!Table14[Eversource]</definedName>
    <definedName name="Eversource">Table14[Eversource]</definedName>
    <definedName name="EversourceCambridge" localSheetId="2">[1]!Table21[EversourceCambridge]</definedName>
    <definedName name="EversourceCambridge">Table21[EversourceCambridge]</definedName>
    <definedName name="EversourceGreaterBoston" localSheetId="2">[1]!Table22[EversourceGreaterBoston]</definedName>
    <definedName name="EversourceGreaterBoston">Table22[EversourceGreaterBoston]</definedName>
    <definedName name="EversourceSouthShoreCCVinyard" localSheetId="2">[1]!Table23[EversourceSouthShore,CC,Vinyard]</definedName>
    <definedName name="EversourceSouthShoreCCVinyard">Table23[EversourceSouthShore,CC,Vinyard]</definedName>
    <definedName name="EversourceWesternMass" localSheetId="2">[1]!Table24[EversourceWesternMass]</definedName>
    <definedName name="EversourceWesternMass">Table24[EversourceWesternMass]</definedName>
    <definedName name="GreaterBoston" localSheetId="2">[1]!Table17[GreaterBoston]</definedName>
    <definedName name="GreaterBoston">Table17[GreaterBoston]</definedName>
    <definedName name="LocationAdder" localSheetId="2">[1]!Table9[Location Based Adder]</definedName>
    <definedName name="LocationAdder">Table9[Location Based Adder]</definedName>
    <definedName name="LocationColumn">ValidationLists[[#All],[Location]]</definedName>
    <definedName name="Low">Table7[Project Size]</definedName>
    <definedName name="MassElectric" localSheetId="2">[1]!Table2[MassElectric]</definedName>
    <definedName name="MassElectric">Table2[MassElectric]</definedName>
    <definedName name="MENationalGrid" localSheetId="2">[1]!Table2[MassElectric]</definedName>
    <definedName name="MENationalGrid">Table2[MassElectric]</definedName>
    <definedName name="MENG" localSheetId="2">[1]!Table2[MassElectric]</definedName>
    <definedName name="MENG">Table2[MassElectric]</definedName>
    <definedName name="NantucketElectric" localSheetId="2">[1]!Table3[NantucketElectric]</definedName>
    <definedName name="NantucketElectric">Table3[NantucketElectric]</definedName>
    <definedName name="NationalGrid" localSheetId="2">[1]!Table12[NationalGrid]</definedName>
    <definedName name="NationalGrid">Table12[NationalGrid]</definedName>
    <definedName name="NationalGridMassElectric">Table8[NGridMassElectric]</definedName>
    <definedName name="NationalGridNantucketElectric">Table15[NGridNantucketElectric]</definedName>
    <definedName name="NENationalGrid" localSheetId="2">[1]!Table3[NantucketElectric]</definedName>
    <definedName name="NENationalGrid">Table3[NantucketElectric]</definedName>
    <definedName name="NENG">Tables!$B$14:$B$19</definedName>
    <definedName name="NGridMassElectric">[1]!Table8[NGridMassElectric]</definedName>
    <definedName name="NGridNantucketElectric">[1]!Table15[NGridNantucketElectric]</definedName>
    <definedName name="NotLow">Table29[Project Size]</definedName>
    <definedName name="OffTakerAdder" localSheetId="2">[1]!Table10[Off-taker Based Adder]</definedName>
    <definedName name="OffTakerAdder">Table10[Off-taker Based Adder]</definedName>
    <definedName name="ProjectSize" localSheetId="2">[1]!Table7[Project Size]</definedName>
    <definedName name="ProjectSize">Table7[Project Size]</definedName>
    <definedName name="Size2Column">Offtaker2[[#All],[ProjectSize2]]</definedName>
    <definedName name="Size2Start">Offtaker2[[#Headers],[ProjectSize2]]</definedName>
    <definedName name="Size3Column">Tracking3[[#All],[ProjectSize3]]</definedName>
    <definedName name="Size3Start">Tracking3[[#Headers],[ProjectSize3]]</definedName>
    <definedName name="SizeColumn">ValidationLists[[#All],[ProjectSize]]</definedName>
    <definedName name="SizeList">Sizes[ProjectSize]</definedName>
    <definedName name="SizeStart">ValidationLists[[#Headers],[ProjectSize]]</definedName>
    <definedName name="SouthShoreCCVinyard" localSheetId="2">[1]!Table18[SouthShore,CC,Vinyard]</definedName>
    <definedName name="SouthShoreCCVinyard">Table18[SouthShore,CC,Vinyard]</definedName>
    <definedName name="Test">Tables!#REF!</definedName>
    <definedName name="Tracking">[1]!Table11[Solar tracking Adder]</definedName>
    <definedName name="TrackingAdder">Table11[Solar tracking Adder]</definedName>
    <definedName name="Unitil" localSheetId="2">[1]!Table13[Unitil]</definedName>
    <definedName name="Unitil">Table13[Unitil]</definedName>
    <definedName name="UnitilFitch" localSheetId="2">[1]!Table4[UnitilFitch]</definedName>
    <definedName name="UnitilFitch">Table4[UnitilFitch]</definedName>
    <definedName name="UnitilUnitilFitch" localSheetId="2">[1]!Table20[UnitilUnitilFitch]</definedName>
    <definedName name="UnitilUnitilFitch">Table20[UnitilUnitilFitch]</definedName>
    <definedName name="WesternMass" localSheetId="2">[1]!Table19[WesternMass]</definedName>
    <definedName name="WesternMass">Table19[WesternMass]</definedName>
  </definedNames>
  <calcPr calcId="145621"/>
</workbook>
</file>

<file path=xl/calcChain.xml><?xml version="1.0" encoding="utf-8"?>
<calcChain xmlns="http://schemas.openxmlformats.org/spreadsheetml/2006/main">
  <c r="O4" i="11" l="1"/>
  <c r="I3" i="11"/>
  <c r="I7" i="11"/>
  <c r="I11" i="11"/>
  <c r="O31" i="11"/>
  <c r="O30" i="11"/>
  <c r="O29" i="11"/>
  <c r="I20" i="11"/>
  <c r="I19" i="11"/>
  <c r="I25" i="11"/>
  <c r="I24" i="11"/>
  <c r="B11" i="20"/>
  <c r="B10" i="20"/>
  <c r="B9" i="20"/>
  <c r="B8" i="20"/>
  <c r="B7" i="20"/>
  <c r="B6" i="20"/>
  <c r="B5" i="20"/>
  <c r="B4" i="20"/>
  <c r="E80" i="11"/>
  <c r="L52" i="11"/>
  <c r="F52" i="11"/>
  <c r="L36" i="11"/>
  <c r="K64" i="11"/>
  <c r="J64" i="11"/>
  <c r="I64" i="11"/>
  <c r="K48" i="11"/>
  <c r="J48" i="11"/>
  <c r="I48" i="11"/>
  <c r="E48" i="11"/>
  <c r="D48" i="11"/>
  <c r="C48" i="11"/>
  <c r="F36" i="11" s="1"/>
  <c r="D80" i="11"/>
  <c r="C80" i="11"/>
  <c r="E64" i="11"/>
  <c r="D64" i="11"/>
  <c r="C64" i="11"/>
  <c r="F68" i="11" l="1"/>
  <c r="C44" i="21" l="1"/>
  <c r="C35" i="21" l="1"/>
  <c r="C22" i="21"/>
  <c r="C30" i="21"/>
  <c r="C25" i="21"/>
  <c r="C47" i="21"/>
  <c r="C45" i="21"/>
  <c r="C46" i="21"/>
  <c r="C12" i="21"/>
  <c r="C24" i="21"/>
  <c r="H23" i="20"/>
  <c r="H19" i="20"/>
  <c r="C13" i="21" l="1"/>
  <c r="C21" i="21"/>
  <c r="B57" i="19"/>
  <c r="B58" i="19"/>
  <c r="B59" i="19"/>
  <c r="B60" i="19"/>
  <c r="B61" i="19"/>
  <c r="B62" i="19"/>
  <c r="B63" i="19"/>
  <c r="B64" i="19"/>
  <c r="B65" i="19"/>
  <c r="B66" i="19"/>
  <c r="B67" i="19"/>
  <c r="B68" i="19"/>
  <c r="B47" i="19"/>
  <c r="B48" i="19"/>
  <c r="B49" i="19"/>
  <c r="B50" i="19"/>
  <c r="B51" i="19"/>
  <c r="B52" i="19"/>
  <c r="B53" i="19"/>
  <c r="B54" i="19"/>
  <c r="B55" i="19"/>
  <c r="B56" i="19"/>
  <c r="B35" i="19"/>
  <c r="B36" i="19"/>
  <c r="B37" i="19"/>
  <c r="B38" i="19"/>
  <c r="B39" i="19"/>
  <c r="B40" i="19"/>
  <c r="B41" i="19"/>
  <c r="B42" i="19"/>
  <c r="B43" i="19"/>
  <c r="B44" i="19"/>
  <c r="B45" i="19"/>
  <c r="B46" i="19"/>
  <c r="B25" i="19"/>
  <c r="B26" i="19"/>
  <c r="B27" i="19"/>
  <c r="B28" i="19"/>
  <c r="B29" i="19"/>
  <c r="B30" i="19"/>
  <c r="B31" i="19"/>
  <c r="B32" i="19"/>
  <c r="B33" i="19"/>
  <c r="B34" i="19"/>
  <c r="C40" i="21" l="1"/>
  <c r="C8" i="21"/>
  <c r="C36" i="21"/>
  <c r="C4" i="21"/>
  <c r="G4" i="21" s="1"/>
  <c r="E44" i="21"/>
  <c r="G44" i="21"/>
  <c r="J43" i="21"/>
  <c r="E42" i="21"/>
  <c r="E41" i="21"/>
  <c r="E40" i="21"/>
  <c r="G40" i="21"/>
  <c r="E39" i="21"/>
  <c r="E38" i="21"/>
  <c r="E37" i="21"/>
  <c r="E36" i="21"/>
  <c r="N35" i="21"/>
  <c r="J35" i="21"/>
  <c r="L35" i="21" s="1"/>
  <c r="E35" i="21" s="1"/>
  <c r="E33" i="21"/>
  <c r="E32" i="21"/>
  <c r="N30" i="21"/>
  <c r="J30" i="21"/>
  <c r="J31" i="21" s="1"/>
  <c r="G25" i="21"/>
  <c r="G24" i="21"/>
  <c r="N23" i="21"/>
  <c r="P23" i="21" s="1"/>
  <c r="J23" i="21"/>
  <c r="L23" i="21" s="1"/>
  <c r="G22" i="21"/>
  <c r="G21" i="21"/>
  <c r="D19" i="21"/>
  <c r="J18" i="21"/>
  <c r="G13" i="21"/>
  <c r="G12" i="21"/>
  <c r="J10" i="21"/>
  <c r="L10" i="21" s="1"/>
  <c r="E10" i="21" s="1"/>
  <c r="G8" i="21"/>
  <c r="C28" i="21" l="1"/>
  <c r="C26" i="21"/>
  <c r="C16" i="21"/>
  <c r="C15" i="21"/>
  <c r="C17" i="21"/>
  <c r="C27" i="21"/>
  <c r="C6" i="21"/>
  <c r="G6" i="21" s="1"/>
  <c r="C7" i="21"/>
  <c r="G7" i="21" s="1"/>
  <c r="C29" i="21"/>
  <c r="C38" i="21"/>
  <c r="G38" i="21" s="1"/>
  <c r="C39" i="21"/>
  <c r="G39" i="21" s="1"/>
  <c r="C37" i="21"/>
  <c r="G37" i="21" s="1"/>
  <c r="C9" i="21"/>
  <c r="G9" i="21" s="1"/>
  <c r="C10" i="21"/>
  <c r="C31" i="21"/>
  <c r="C11" i="21"/>
  <c r="G11" i="21" s="1"/>
  <c r="C32" i="21"/>
  <c r="G32" i="21" s="1"/>
  <c r="C34" i="21"/>
  <c r="C33" i="21"/>
  <c r="G33" i="21" s="1"/>
  <c r="C20" i="21"/>
  <c r="C19" i="21"/>
  <c r="C23" i="21"/>
  <c r="G36" i="21"/>
  <c r="C42" i="21"/>
  <c r="G42" i="21" s="1"/>
  <c r="C43" i="21"/>
  <c r="C41" i="21"/>
  <c r="G41" i="21" s="1"/>
  <c r="C5" i="21"/>
  <c r="G5" i="21" s="1"/>
  <c r="G35" i="21"/>
  <c r="J34" i="21"/>
  <c r="L31" i="21"/>
  <c r="L34" i="21" s="1"/>
  <c r="E31" i="21"/>
  <c r="C14" i="21"/>
  <c r="C18" i="21"/>
  <c r="L18" i="21"/>
  <c r="E20" i="21" s="1"/>
  <c r="L30" i="21"/>
  <c r="E30" i="21" s="1"/>
  <c r="G30" i="21" s="1"/>
  <c r="D10" i="21"/>
  <c r="L43" i="21"/>
  <c r="E46" i="21" s="1"/>
  <c r="G46" i="21" s="1"/>
  <c r="E13" i="12"/>
  <c r="E12" i="12"/>
  <c r="E11" i="12"/>
  <c r="D23" i="21" l="1"/>
  <c r="E19" i="21"/>
  <c r="G19" i="21"/>
  <c r="G10" i="21"/>
  <c r="G20" i="21"/>
  <c r="G31" i="21"/>
  <c r="E23" i="21"/>
  <c r="G23" i="21" s="1"/>
  <c r="E47" i="21"/>
  <c r="G47" i="21" s="1"/>
  <c r="E18" i="21"/>
  <c r="G18" i="21" s="1"/>
  <c r="E45" i="21"/>
  <c r="G45" i="21" s="1"/>
  <c r="E43" i="21"/>
  <c r="G43" i="21" s="1"/>
  <c r="G14" i="21"/>
  <c r="E34" i="21"/>
  <c r="G34" i="21" s="1"/>
  <c r="B9" i="19"/>
  <c r="B10" i="19"/>
  <c r="B11" i="19"/>
  <c r="B12" i="19"/>
  <c r="B13" i="19"/>
  <c r="B14" i="19"/>
  <c r="B15" i="19"/>
  <c r="B16" i="19"/>
  <c r="B17" i="19"/>
  <c r="B18" i="19"/>
  <c r="B19" i="19"/>
  <c r="B20" i="19"/>
  <c r="B21" i="19"/>
  <c r="B22" i="19"/>
  <c r="B23" i="19"/>
  <c r="B24" i="19"/>
  <c r="G15" i="21" l="1"/>
  <c r="G26" i="21"/>
  <c r="D23" i="20"/>
  <c r="C23" i="20"/>
  <c r="B13" i="20"/>
  <c r="B12" i="20"/>
  <c r="D22" i="20"/>
  <c r="E21" i="20"/>
  <c r="D21" i="20"/>
  <c r="C21" i="20"/>
  <c r="B21" i="20"/>
  <c r="E20" i="20"/>
  <c r="D20" i="20"/>
  <c r="C20" i="20"/>
  <c r="B20" i="20"/>
  <c r="E19" i="20"/>
  <c r="D19" i="20"/>
  <c r="C19" i="20"/>
  <c r="E18" i="20"/>
  <c r="D18" i="20"/>
  <c r="C18" i="20"/>
  <c r="B19" i="20" l="1"/>
  <c r="F19" i="20" s="1"/>
  <c r="F5" i="20"/>
  <c r="G16" i="21"/>
  <c r="G17" i="21"/>
  <c r="G27" i="21"/>
  <c r="F21" i="20"/>
  <c r="C22" i="20"/>
  <c r="E22" i="20"/>
  <c r="F4" i="20"/>
  <c r="F20" i="20"/>
  <c r="F8" i="20"/>
  <c r="F11" i="20"/>
  <c r="B18" i="20"/>
  <c r="F18" i="20" s="1"/>
  <c r="B23" i="20"/>
  <c r="F7" i="20"/>
  <c r="F6" i="20"/>
  <c r="B22" i="20"/>
  <c r="E23" i="20"/>
  <c r="F10" i="20"/>
  <c r="B2" i="19"/>
  <c r="B3" i="19"/>
  <c r="B4" i="19"/>
  <c r="B5" i="19"/>
  <c r="B6" i="19"/>
  <c r="B7" i="19"/>
  <c r="B8" i="19"/>
  <c r="E8" i="12"/>
  <c r="C23" i="12" s="1"/>
  <c r="E10" i="12"/>
  <c r="C27" i="12" s="1"/>
  <c r="E7" i="12"/>
  <c r="E9" i="12"/>
  <c r="E6" i="12"/>
  <c r="G28" i="21" l="1"/>
  <c r="G29" i="21"/>
  <c r="F13" i="20"/>
  <c r="F12" i="20"/>
  <c r="F9" i="20"/>
  <c r="F22" i="20"/>
  <c r="F23" i="20"/>
  <c r="C20" i="12" a="1"/>
  <c r="C20" i="12" s="1"/>
  <c r="C21" i="12" l="1"/>
  <c r="C22" i="12" s="1"/>
  <c r="C26" i="12" s="1"/>
  <c r="D5" i="14"/>
  <c r="E5" i="14" s="1"/>
  <c r="F5" i="14" s="1"/>
  <c r="G5" i="14" s="1"/>
  <c r="H5" i="14" s="1"/>
  <c r="I5" i="14" s="1"/>
  <c r="J5" i="14" s="1"/>
  <c r="D6" i="14"/>
  <c r="E6" i="14"/>
  <c r="F6" i="14" s="1"/>
  <c r="G6" i="14" s="1"/>
  <c r="H6" i="14" s="1"/>
  <c r="I6" i="14" s="1"/>
  <c r="J6" i="14" s="1"/>
  <c r="D7" i="14"/>
  <c r="E7" i="14"/>
  <c r="F7" i="14"/>
  <c r="G7" i="14" s="1"/>
  <c r="H7" i="14" s="1"/>
  <c r="I7" i="14" s="1"/>
  <c r="J7" i="14" s="1"/>
  <c r="D8" i="14"/>
  <c r="E8" i="14" s="1"/>
  <c r="F8" i="14" s="1"/>
  <c r="G8" i="14" s="1"/>
  <c r="H8" i="14" s="1"/>
  <c r="I8" i="14" s="1"/>
  <c r="J8" i="14" s="1"/>
  <c r="D9" i="14"/>
  <c r="E9" i="14" s="1"/>
  <c r="F9" i="14" s="1"/>
  <c r="G9" i="14" s="1"/>
  <c r="H9" i="14" s="1"/>
  <c r="I9" i="14" s="1"/>
  <c r="J9" i="14" s="1"/>
  <c r="D10" i="14"/>
  <c r="E10" i="14"/>
  <c r="F10" i="14"/>
  <c r="G10" i="14" s="1"/>
  <c r="H10" i="14" s="1"/>
  <c r="I10" i="14" s="1"/>
  <c r="J10" i="14" s="1"/>
  <c r="D11" i="14"/>
  <c r="E11" i="14"/>
  <c r="F11" i="14"/>
  <c r="G11" i="14"/>
  <c r="H11" i="14" s="1"/>
  <c r="I11" i="14" s="1"/>
  <c r="J11" i="14" s="1"/>
  <c r="D12" i="14"/>
  <c r="E12" i="14" s="1"/>
  <c r="F12" i="14" s="1"/>
  <c r="G12" i="14" s="1"/>
  <c r="H12" i="14" s="1"/>
  <c r="I12" i="14" s="1"/>
  <c r="J12" i="14" s="1"/>
  <c r="D13" i="14"/>
  <c r="E13" i="14"/>
  <c r="F13" i="14" s="1"/>
  <c r="G13" i="14" s="1"/>
  <c r="H13" i="14" s="1"/>
  <c r="I13" i="14" s="1"/>
  <c r="J13" i="14" s="1"/>
  <c r="D14" i="14"/>
  <c r="E14" i="14"/>
  <c r="F14" i="14"/>
  <c r="G14" i="14" s="1"/>
  <c r="H14" i="14" s="1"/>
  <c r="I14" i="14" s="1"/>
  <c r="J14" i="14" s="1"/>
  <c r="D16" i="14"/>
  <c r="E16" i="14"/>
  <c r="F16" i="14"/>
  <c r="G16" i="14"/>
  <c r="H16" i="14" s="1"/>
  <c r="I16" i="14" s="1"/>
  <c r="J16" i="14" s="1"/>
  <c r="E4" i="13"/>
  <c r="F4" i="13"/>
  <c r="G4" i="13" s="1"/>
  <c r="H4" i="13" s="1"/>
  <c r="E5" i="13"/>
  <c r="F5" i="13"/>
  <c r="G5" i="13" s="1"/>
  <c r="H5" i="13" s="1"/>
  <c r="E6" i="13"/>
  <c r="F6" i="13"/>
  <c r="G6" i="13" s="1"/>
  <c r="H6" i="13" s="1"/>
  <c r="E7" i="13"/>
  <c r="F7" i="13"/>
  <c r="G7" i="13" s="1"/>
  <c r="H7" i="13" s="1"/>
  <c r="E8" i="13"/>
  <c r="F8" i="13"/>
  <c r="G8" i="13" s="1"/>
  <c r="H8" i="13" s="1"/>
  <c r="F9" i="13"/>
  <c r="G9" i="13"/>
  <c r="H9" i="13" s="1"/>
  <c r="E10" i="13"/>
  <c r="F10" i="13" s="1"/>
  <c r="G10" i="13" s="1"/>
  <c r="H10" i="13" s="1"/>
  <c r="I10" i="13" s="1"/>
  <c r="J10" i="13" s="1"/>
  <c r="K10" i="13" s="1"/>
  <c r="L10" i="13" s="1"/>
  <c r="E11" i="13"/>
  <c r="F11" i="13" s="1"/>
  <c r="G11" i="13" s="1"/>
  <c r="H11" i="13" s="1"/>
  <c r="I11" i="13" s="1"/>
  <c r="J11" i="13" s="1"/>
  <c r="K11" i="13" s="1"/>
  <c r="L11" i="13" s="1"/>
  <c r="E12" i="13"/>
  <c r="F12" i="13" s="1"/>
  <c r="G12" i="13" s="1"/>
  <c r="H12" i="13" s="1"/>
  <c r="I12" i="13" s="1"/>
  <c r="J12" i="13" s="1"/>
  <c r="K12" i="13" s="1"/>
  <c r="L12" i="13" s="1"/>
  <c r="E13" i="13"/>
  <c r="F13" i="13" s="1"/>
  <c r="G13" i="13" s="1"/>
  <c r="H13" i="13" s="1"/>
  <c r="I13" i="13" s="1"/>
  <c r="J13" i="13" s="1"/>
  <c r="K13" i="13" s="1"/>
  <c r="L13" i="13" s="1"/>
  <c r="E14" i="13"/>
  <c r="F14" i="13" s="1"/>
  <c r="G14" i="13" s="1"/>
  <c r="H14" i="13" s="1"/>
  <c r="I14" i="13" s="1"/>
  <c r="J14" i="13" s="1"/>
  <c r="K14" i="13" s="1"/>
  <c r="L14" i="13" s="1"/>
  <c r="F15" i="13"/>
  <c r="G15" i="13" s="1"/>
  <c r="H15" i="13" s="1"/>
  <c r="I15" i="13" s="1"/>
  <c r="J15" i="13" s="1"/>
  <c r="K15" i="13" s="1"/>
  <c r="L15" i="13" s="1"/>
  <c r="E16" i="13"/>
  <c r="F16" i="13" s="1"/>
  <c r="E17" i="13"/>
  <c r="F17" i="13"/>
  <c r="E18" i="13"/>
  <c r="F18" i="13" s="1"/>
  <c r="E19" i="13"/>
  <c r="F19" i="13"/>
  <c r="E20" i="13"/>
  <c r="F20" i="13" s="1"/>
  <c r="F21" i="13"/>
  <c r="E22" i="13"/>
  <c r="F22" i="13"/>
  <c r="G22" i="13" s="1"/>
  <c r="H22" i="13" s="1"/>
  <c r="I22" i="13" s="1"/>
  <c r="J22" i="13" s="1"/>
  <c r="K22" i="13" s="1"/>
  <c r="L22" i="13" s="1"/>
  <c r="E23" i="13"/>
  <c r="F23" i="13"/>
  <c r="G23" i="13" s="1"/>
  <c r="H23" i="13" s="1"/>
  <c r="I23" i="13" s="1"/>
  <c r="J23" i="13" s="1"/>
  <c r="K23" i="13" s="1"/>
  <c r="L23" i="13" s="1"/>
  <c r="E24" i="13"/>
  <c r="F24" i="13"/>
  <c r="G24" i="13" s="1"/>
  <c r="H24" i="13" s="1"/>
  <c r="I24" i="13" s="1"/>
  <c r="J24" i="13" s="1"/>
  <c r="K24" i="13" s="1"/>
  <c r="L24" i="13" s="1"/>
  <c r="E25" i="13"/>
  <c r="F25" i="13"/>
  <c r="G25" i="13" s="1"/>
  <c r="H25" i="13" s="1"/>
  <c r="I25" i="13" s="1"/>
  <c r="J25" i="13" s="1"/>
  <c r="K25" i="13" s="1"/>
  <c r="L25" i="13" s="1"/>
  <c r="E26" i="13"/>
  <c r="F26" i="13"/>
  <c r="G26" i="13" s="1"/>
  <c r="H26" i="13" s="1"/>
  <c r="I26" i="13" s="1"/>
  <c r="J26" i="13" s="1"/>
  <c r="K26" i="13" s="1"/>
  <c r="L26" i="13" s="1"/>
  <c r="F27" i="13"/>
  <c r="G27" i="13"/>
  <c r="H27" i="13" s="1"/>
  <c r="I27" i="13" s="1"/>
  <c r="J27" i="13" s="1"/>
  <c r="K27" i="13" s="1"/>
  <c r="L27" i="13" s="1"/>
  <c r="E28" i="13"/>
  <c r="F28" i="13"/>
  <c r="G28" i="13"/>
  <c r="H28" i="13" s="1"/>
  <c r="I28" i="13" s="1"/>
  <c r="J28" i="13" s="1"/>
  <c r="K28" i="13" s="1"/>
  <c r="L28" i="13" s="1"/>
  <c r="E29" i="13"/>
  <c r="F29" i="13"/>
  <c r="G29" i="13"/>
  <c r="H29" i="13" s="1"/>
  <c r="I29" i="13" s="1"/>
  <c r="J29" i="13" s="1"/>
  <c r="K29" i="13" s="1"/>
  <c r="L29" i="13" s="1"/>
  <c r="E30" i="13"/>
  <c r="F30" i="13"/>
  <c r="G30" i="13"/>
  <c r="H30" i="13" s="1"/>
  <c r="I30" i="13" s="1"/>
  <c r="J30" i="13" s="1"/>
  <c r="K30" i="13" s="1"/>
  <c r="L30" i="13" s="1"/>
  <c r="E31" i="13"/>
  <c r="F31" i="13"/>
  <c r="G31" i="13"/>
  <c r="H31" i="13" s="1"/>
  <c r="I31" i="13" s="1"/>
  <c r="J31" i="13" s="1"/>
  <c r="K31" i="13" s="1"/>
  <c r="L31" i="13" s="1"/>
  <c r="E32" i="13"/>
  <c r="F32" i="13"/>
  <c r="G32" i="13"/>
  <c r="H32" i="13" s="1"/>
  <c r="I32" i="13" s="1"/>
  <c r="J32" i="13" s="1"/>
  <c r="K32" i="13" s="1"/>
  <c r="L32" i="13" s="1"/>
  <c r="F33" i="13"/>
  <c r="G33" i="13"/>
  <c r="H33" i="13"/>
  <c r="I33" i="13" s="1"/>
  <c r="J33" i="13" s="1"/>
  <c r="K33" i="13" s="1"/>
  <c r="L33" i="13" s="1"/>
  <c r="B8" i="9" l="1"/>
  <c r="D9" i="9" l="1"/>
  <c r="D8" i="9"/>
  <c r="B9" i="9" l="1"/>
  <c r="F9" i="9" s="1"/>
  <c r="B6" i="9"/>
  <c r="F6" i="9" s="1"/>
  <c r="B4" i="9"/>
  <c r="F8" i="9"/>
  <c r="B10" i="9" l="1"/>
  <c r="F10" i="9" s="1"/>
  <c r="B5" i="9"/>
  <c r="F5" i="9" s="1"/>
  <c r="B7" i="9"/>
  <c r="F7" i="9" s="1"/>
  <c r="F4" i="9" l="1"/>
</calcChain>
</file>

<file path=xl/sharedStrings.xml><?xml version="1.0" encoding="utf-8"?>
<sst xmlns="http://schemas.openxmlformats.org/spreadsheetml/2006/main" count="1058" uniqueCount="311">
  <si>
    <t>3- Year Basic Service Average</t>
  </si>
  <si>
    <t>Transmission</t>
  </si>
  <si>
    <t>Distribution</t>
  </si>
  <si>
    <t>Transition</t>
  </si>
  <si>
    <t>Rate Class</t>
  </si>
  <si>
    <t>R-1</t>
  </si>
  <si>
    <t>G-1</t>
  </si>
  <si>
    <t>G-2</t>
  </si>
  <si>
    <t>R-2</t>
  </si>
  <si>
    <t>G-3</t>
  </si>
  <si>
    <t>Volumetric Delivery Charges</t>
  </si>
  <si>
    <t>Nantucket Electric</t>
  </si>
  <si>
    <t>R-4</t>
  </si>
  <si>
    <t xml:space="preserve">Massachusetts Electric Delivery Charges: </t>
  </si>
  <si>
    <t>https://www9.nationalgridus.com/non_html/0817MECO.pdf</t>
  </si>
  <si>
    <t xml:space="preserve">https://www9.nationalgridus.com/non_html/0817NANT.pdf </t>
  </si>
  <si>
    <t>Massachusetts Electric</t>
  </si>
  <si>
    <t>Information Sources:</t>
  </si>
  <si>
    <t xml:space="preserve">Nantucket Delivery Charges: </t>
  </si>
  <si>
    <t>NSTAR (SEMA)</t>
  </si>
  <si>
    <t>NSTAR (NEMA)</t>
  </si>
  <si>
    <t>3-Year Average</t>
  </si>
  <si>
    <t>Summer 2015</t>
  </si>
  <si>
    <t>Winter 2016</t>
  </si>
  <si>
    <t>Summer 2016</t>
  </si>
  <si>
    <t>Winter 2017</t>
  </si>
  <si>
    <t>Cambridge</t>
  </si>
  <si>
    <t>Greater Boston</t>
  </si>
  <si>
    <t>Winter 2018</t>
  </si>
  <si>
    <t>Summer 2017</t>
  </si>
  <si>
    <t>Residential Basic Service</t>
  </si>
  <si>
    <t>Small Commercial Basic Service</t>
  </si>
  <si>
    <t>RD-1</t>
  </si>
  <si>
    <t>RD-2</t>
  </si>
  <si>
    <t>GD-1</t>
  </si>
  <si>
    <t>GD-2</t>
  </si>
  <si>
    <t>GD-3</t>
  </si>
  <si>
    <t>GD-4</t>
  </si>
  <si>
    <t>GD-5</t>
  </si>
  <si>
    <t>Unitil Delivery Rates:</t>
  </si>
  <si>
    <t>Load Zone</t>
  </si>
  <si>
    <t>WCMA</t>
  </si>
  <si>
    <t>Unitil Basic Service</t>
  </si>
  <si>
    <t>National Grid Basic Service</t>
  </si>
  <si>
    <t>RD-1 and RD-2 Basic Service</t>
  </si>
  <si>
    <t>GD-1 Basic Service</t>
  </si>
  <si>
    <t>GD-2, GD-4, and GD-5 Basic Service</t>
  </si>
  <si>
    <t>GD-3 Basic Service</t>
  </si>
  <si>
    <t xml:space="preserve">Basic Service Rates: </t>
  </si>
  <si>
    <t xml:space="preserve">https://www.mass.gov/service-details/basic-service-information-and-rates </t>
  </si>
  <si>
    <t>Historical source not available online</t>
  </si>
  <si>
    <t>Unitil Dec 2017</t>
  </si>
  <si>
    <t>Jan</t>
  </si>
  <si>
    <t>Feb</t>
  </si>
  <si>
    <t>Mar</t>
  </si>
  <si>
    <t>Apr</t>
  </si>
  <si>
    <t>May</t>
  </si>
  <si>
    <t>Jun</t>
  </si>
  <si>
    <t>Jul</t>
  </si>
  <si>
    <t>Aug</t>
  </si>
  <si>
    <t>Sep</t>
  </si>
  <si>
    <t>Oct</t>
  </si>
  <si>
    <t>Nov</t>
  </si>
  <si>
    <t>Dec</t>
  </si>
  <si>
    <t>Service Area</t>
  </si>
  <si>
    <t>R-3</t>
  </si>
  <si>
    <t>G-0</t>
  </si>
  <si>
    <t>South Shore, Cape Cod, and Martha's Vineyard</t>
  </si>
  <si>
    <t>Eversource Energy</t>
  </si>
  <si>
    <t>Western Massachusetts</t>
  </si>
  <si>
    <t>T-0</t>
  </si>
  <si>
    <t>T-4</t>
  </si>
  <si>
    <t>T-2</t>
  </si>
  <si>
    <t>T-5</t>
  </si>
  <si>
    <t>Notes:</t>
  </si>
  <si>
    <t>Month</t>
  </si>
  <si>
    <t>Estimated Value of Energy</t>
  </si>
  <si>
    <t>Eversource Basic Service</t>
  </si>
  <si>
    <t>Large C&amp;I Basic Service</t>
  </si>
  <si>
    <t>Territory (Load Zone)</t>
  </si>
  <si>
    <t>WMECO (WCMA)</t>
  </si>
  <si>
    <t>NSTAR (NEMA and SEMA)</t>
  </si>
  <si>
    <t>https://www.eversource.com/content/ema-c/residential/my-account/billing-payments/about-your-bill/rates-tariffs/summary-of-electric-rates</t>
  </si>
  <si>
    <t>Eastern Massachusetts Delivery Rates:</t>
  </si>
  <si>
    <t>Western Massachusetts Delivery Rates:</t>
  </si>
  <si>
    <t xml:space="preserve">https://www.eversource.com/content/docs/default-source/rates-tariffs/wma-rates.pdf </t>
  </si>
  <si>
    <t>Distribution rates for GD-3 and GD-4 are a weighted average of peak and off-peak volumetric rates</t>
  </si>
  <si>
    <r>
      <rPr>
        <vertAlign val="superscript"/>
        <sz val="11"/>
        <color theme="1"/>
        <rFont val="Calibri"/>
        <family val="2"/>
        <scheme val="minor"/>
      </rPr>
      <t>7</t>
    </r>
    <r>
      <rPr>
        <sz val="11"/>
        <color theme="1"/>
        <rFont val="Calibri"/>
        <family val="2"/>
        <scheme val="minor"/>
      </rPr>
      <t xml:space="preserve"> Pursuant to 225 CMR 20.07(3)(b), DOER has established WMECO's Block 1 Base Compensation Rate as the mean price of the selected bids received under the procurement conducted pursuant to 225 CMR 20.07(3)(a).</t>
    </r>
  </si>
  <si>
    <r>
      <rPr>
        <vertAlign val="superscript"/>
        <sz val="11"/>
        <color theme="1"/>
        <rFont val="Calibri"/>
        <family val="2"/>
        <scheme val="minor"/>
      </rPr>
      <t>5</t>
    </r>
    <r>
      <rPr>
        <sz val="11"/>
        <color theme="1"/>
        <rFont val="Calibri"/>
        <family val="2"/>
        <scheme val="minor"/>
      </rPr>
      <t xml:space="preserve"> Nantucket Electric d/b/a National Grid has elected to have two Capacity Blocks with a 16% decline in Base Compensation Rates per Capacity Block, as permitted under 225 CMR 20.05(3) and 225 CMR 20.07(2), respectively.</t>
    </r>
  </si>
  <si>
    <r>
      <rPr>
        <vertAlign val="superscript"/>
        <sz val="11"/>
        <color theme="1"/>
        <rFont val="Calibri"/>
        <family val="2"/>
        <scheme val="minor"/>
      </rPr>
      <t xml:space="preserve">4 </t>
    </r>
    <r>
      <rPr>
        <sz val="11"/>
        <color theme="1"/>
        <rFont val="Calibri"/>
        <family val="2"/>
        <scheme val="minor"/>
      </rPr>
      <t>Pursuant to 225 CMR 20.07(3)(b), DOER has elected to administratively set the Block 1 Base Compensation Rate for Nantucket Electric d/b/a National Grid at $0.17000/kWh. Nantucket Electric's unique geographic location and low levels of solar development to date as compared to other service territories indicates that higher costs are likely a barrier. Accordingly, DOER has determined that it is more than likely that the primary reason that Nantucket Electric did not receive any proposals under the initial procurement is due to these higher than average costs. As such, DOER has established the Base Compensation Rate at the Ceiling Price of the initial competitive procurement.</t>
    </r>
  </si>
  <si>
    <r>
      <rPr>
        <vertAlign val="superscript"/>
        <sz val="11"/>
        <color theme="1"/>
        <rFont val="Calibri"/>
        <family val="2"/>
        <scheme val="minor"/>
      </rPr>
      <t>3</t>
    </r>
    <r>
      <rPr>
        <sz val="11"/>
        <color theme="1"/>
        <rFont val="Calibri"/>
        <family val="2"/>
        <scheme val="minor"/>
      </rPr>
      <t xml:space="preserve"> Pursuant to 225 CMR 20.07(3)(b), DOER has established Massachusetts Electric's Block 1 Base Compensation Rate as the mean price of the selected bids received under the procurement conducted pursuant to 225 CMR 20.07(3)(a).</t>
    </r>
  </si>
  <si>
    <r>
      <rPr>
        <vertAlign val="superscript"/>
        <sz val="11"/>
        <color theme="1"/>
        <rFont val="Calibri"/>
        <family val="2"/>
        <scheme val="minor"/>
      </rPr>
      <t>2</t>
    </r>
    <r>
      <rPr>
        <sz val="11"/>
        <color theme="1"/>
        <rFont val="Calibri"/>
        <family val="2"/>
        <scheme val="minor"/>
      </rPr>
      <t xml:space="preserve"> Fitchburg Gas &amp; Electric d/b/a Unitil has elected to have four Capacity Blocks with an 8.8% decline in Base Compensation Rates per Capacity Block, as permitted under 225 CMR 20.05(3) and 225 CMR 20.07(2), respectively.</t>
    </r>
  </si>
  <si>
    <r>
      <rPr>
        <vertAlign val="superscript"/>
        <sz val="11"/>
        <color theme="1"/>
        <rFont val="Calibri"/>
        <family val="2"/>
        <scheme val="minor"/>
      </rPr>
      <t xml:space="preserve">1 </t>
    </r>
    <r>
      <rPr>
        <sz val="11"/>
        <color theme="1"/>
        <rFont val="Calibri"/>
        <family val="2"/>
        <scheme val="minor"/>
      </rPr>
      <t>Pursuant to 225 CMR 20.07(3)(b), DOER has elected to administratively set the Block 1 Base Compensation Rate for Fitchburg Gas &amp; Electric d/b/a Unitil at $0.15563/kWh. As of January 11, 2018, Fitchburg Gas &amp; Electric has the highest percentage of installed solar capacity of investor owned service territory in the state relative to the number of its number of customers and total load served. Because of this, Fitchburg Gas &amp; Electric’s procurement result suggests that its small service territory and small number of eligible projects in the 1-5 MW range were the primary reasons it did not receive proposals under the initial competitive procurement. Given that Fitchburg Gas &amp; Electric’s service territory is geographically surrounded by Massachusetts Electric's service territory, DOER determined it was reasonable to assume that it would have seen a similar result to Massachusetts Electric’s procurement if more projects were able to respond to the RFP. Accordingly, DOER used the result of Massachusetts Electric's procurement results to establish Fitchburg Gas &amp; Electric’s Base Compensation Rates.</t>
    </r>
  </si>
  <si>
    <t>20-year</t>
  </si>
  <si>
    <t>Greater than 1,000 kW AC to 5,000 kW AC</t>
  </si>
  <si>
    <t>Greater than 500 kW AC to 1,000 kW AC</t>
  </si>
  <si>
    <t>Greater than 250 kW AC to 500 kW AC</t>
  </si>
  <si>
    <t>Greater than 25 kW AC  to 250 kW AC</t>
  </si>
  <si>
    <t>10-year</t>
  </si>
  <si>
    <t>Less than or equal to 25 kW AC</t>
  </si>
  <si>
    <t>Low income less than or equal to 25 kW AC</t>
  </si>
  <si>
    <r>
      <t xml:space="preserve">WMECO d/b/a Eversource Energy </t>
    </r>
    <r>
      <rPr>
        <b/>
        <vertAlign val="superscript"/>
        <sz val="11"/>
        <color theme="1"/>
        <rFont val="Calibri"/>
        <family val="2"/>
        <scheme val="minor"/>
      </rPr>
      <t>7</t>
    </r>
  </si>
  <si>
    <r>
      <t xml:space="preserve">NSTAR d/b/a Eversource Energy </t>
    </r>
    <r>
      <rPr>
        <b/>
        <vertAlign val="superscript"/>
        <sz val="11"/>
        <color theme="1"/>
        <rFont val="Calibri"/>
        <family val="2"/>
        <scheme val="minor"/>
      </rPr>
      <t>6</t>
    </r>
  </si>
  <si>
    <t>Not Applicable</t>
  </si>
  <si>
    <r>
      <t xml:space="preserve">Nantucket Electric d/b/a National Grid </t>
    </r>
    <r>
      <rPr>
        <b/>
        <vertAlign val="superscript"/>
        <sz val="11"/>
        <color theme="1"/>
        <rFont val="Calibri"/>
        <family val="2"/>
        <scheme val="minor"/>
      </rPr>
      <t>4 5</t>
    </r>
  </si>
  <si>
    <r>
      <t xml:space="preserve">Massachusetts Electric d/b/a National Grid </t>
    </r>
    <r>
      <rPr>
        <b/>
        <vertAlign val="superscript"/>
        <sz val="11"/>
        <color theme="1"/>
        <rFont val="Calibri"/>
        <family val="2"/>
        <scheme val="minor"/>
      </rPr>
      <t>3</t>
    </r>
  </si>
  <si>
    <r>
      <t xml:space="preserve">Fitchburg Gas &amp; Electric d/b/a Unitil </t>
    </r>
    <r>
      <rPr>
        <b/>
        <vertAlign val="superscript"/>
        <sz val="11"/>
        <color theme="1"/>
        <rFont val="Calibri"/>
        <family val="2"/>
        <scheme val="minor"/>
      </rPr>
      <t>1</t>
    </r>
    <r>
      <rPr>
        <b/>
        <sz val="11"/>
        <color theme="1"/>
        <rFont val="Calibri"/>
        <family val="2"/>
        <scheme val="minor"/>
      </rPr>
      <t xml:space="preserve"> </t>
    </r>
    <r>
      <rPr>
        <b/>
        <vertAlign val="superscript"/>
        <sz val="11"/>
        <color theme="1"/>
        <rFont val="Calibri"/>
        <family val="2"/>
        <scheme val="minor"/>
      </rPr>
      <t>2</t>
    </r>
    <r>
      <rPr>
        <b/>
        <sz val="11"/>
        <color theme="1"/>
        <rFont val="Calibri"/>
        <family val="2"/>
        <scheme val="minor"/>
      </rPr>
      <t xml:space="preserve"> </t>
    </r>
  </si>
  <si>
    <t>Block 8</t>
  </si>
  <si>
    <t>Block 7</t>
  </si>
  <si>
    <t>Block 6</t>
  </si>
  <si>
    <t>Block 5</t>
  </si>
  <si>
    <t>Block 4</t>
  </si>
  <si>
    <t>Block 3</t>
  </si>
  <si>
    <t>Block 2</t>
  </si>
  <si>
    <t>Block 1</t>
  </si>
  <si>
    <t>Term Length</t>
  </si>
  <si>
    <t>Base Compensation Rate Factor</t>
  </si>
  <si>
    <t>Generation Unit Capacity</t>
  </si>
  <si>
    <t>Electric Distribution Company</t>
  </si>
  <si>
    <t>Summary of Base Compensation Rates by Service Territory, Generation Unit Capacity, and Capacity Block</t>
  </si>
  <si>
    <r>
      <rPr>
        <vertAlign val="superscript"/>
        <sz val="11"/>
        <color theme="1"/>
        <rFont val="Calibri"/>
        <family val="2"/>
        <scheme val="minor"/>
      </rPr>
      <t>3</t>
    </r>
    <r>
      <rPr>
        <sz val="11"/>
        <color theme="1"/>
        <rFont val="Calibri"/>
        <family val="2"/>
        <scheme val="minor"/>
      </rPr>
      <t xml:space="preserve"> Energy Storage Adders are variable based on formula in 225 CMR 20.07(4)(c)2. As each tranche is filled, the Energy Storage Adder Multiplier, as defined in 225 CMR 20.07(4)(c)1., will decline by 4% per tranche. For more information on the Energy Storage Adder, please consult DOER's </t>
    </r>
    <r>
      <rPr>
        <i/>
        <sz val="11"/>
        <color theme="1"/>
        <rFont val="Calibri"/>
        <family val="2"/>
        <scheme val="minor"/>
      </rPr>
      <t>Energy Storage Guideline.</t>
    </r>
  </si>
  <si>
    <r>
      <rPr>
        <vertAlign val="superscript"/>
        <sz val="11"/>
        <color theme="1"/>
        <rFont val="Calibri"/>
        <family val="2"/>
        <scheme val="minor"/>
      </rPr>
      <t>2</t>
    </r>
    <r>
      <rPr>
        <sz val="11"/>
        <color theme="1"/>
        <rFont val="Calibri"/>
        <family val="2"/>
        <scheme val="minor"/>
      </rPr>
      <t xml:space="preserve"> Pursuant to 225 CMR 20.07(2), the first tranche of capacity available to each adder shall by 80 MW, with DOER establishing tranche sizes thereafter as tranches are filled. Each adder shall decline by 4% when moving from one tranche to the next. This table will be updated as needed as tranches are filled.</t>
    </r>
  </si>
  <si>
    <r>
      <rPr>
        <vertAlign val="superscript"/>
        <sz val="11"/>
        <color theme="1"/>
        <rFont val="Calibri"/>
        <family val="2"/>
        <scheme val="minor"/>
      </rPr>
      <t>1</t>
    </r>
    <r>
      <rPr>
        <sz val="11"/>
        <color theme="1"/>
        <rFont val="Calibri"/>
        <family val="2"/>
        <scheme val="minor"/>
      </rPr>
      <t xml:space="preserve"> Pursuant to 225 CMR 20.07(4)(e)1., a Solar Tariff Generation Unit with a capacity of 25 kW AC or less may only combine its Base Compensation Rate with the Energy Storage Adder. A Solar Tariff Generation Unit with a capacity larger than 25 kW AC can combine its Base Compensation Rate with no more than one Compensation Rate Adder from each of the four types of adders, as they are listed in 225 CMR 20.07(4)(a) through (d).</t>
    </r>
  </si>
  <si>
    <t>Solar Tracking Adder</t>
  </si>
  <si>
    <t>Solar Tracking</t>
  </si>
  <si>
    <t>Variable</t>
  </si>
  <si>
    <t>Energy Storage Adder</t>
  </si>
  <si>
    <r>
      <t>Energy Storage</t>
    </r>
    <r>
      <rPr>
        <b/>
        <vertAlign val="superscript"/>
        <sz val="10"/>
        <color theme="1"/>
        <rFont val="Calibri"/>
        <family val="2"/>
        <scheme val="minor"/>
      </rPr>
      <t>3</t>
    </r>
  </si>
  <si>
    <t>Public Entity Solar Tariff Generation Unit</t>
  </si>
  <si>
    <t>Low Income Community Shared Solar Tariff Generation Unit</t>
  </si>
  <si>
    <t>Low Income Property Solar Tariff Generation Unit</t>
  </si>
  <si>
    <t xml:space="preserve">Community Shared Solar Tariff Generation Unit </t>
  </si>
  <si>
    <t>Off-taker Based</t>
  </si>
  <si>
    <t xml:space="preserve">Agricultural Solar Tariff Generation Unit </t>
  </si>
  <si>
    <t>Canopy Solar Tariff Generation Unit</t>
  </si>
  <si>
    <t xml:space="preserve">Solar Tariff Generation Unit on an Eligible Landfill </t>
  </si>
  <si>
    <t xml:space="preserve">Solar Tariff Generation Unit on a Brownfield </t>
  </si>
  <si>
    <t>Floating Solar Tariff Generation Unit</t>
  </si>
  <si>
    <t xml:space="preserve">Building Mounted Solar Tariff Generation Unit </t>
  </si>
  <si>
    <t>Location Based</t>
  </si>
  <si>
    <t>Adder Tranche 8 (TBD)</t>
  </si>
  <si>
    <t>Adder Tranche 7 (TBD)</t>
  </si>
  <si>
    <t>Adder Tranche 6 (TBD)</t>
  </si>
  <si>
    <t>Adder Tranche 5 (TBD)</t>
  </si>
  <si>
    <t>Adder Tranche 4 (TBD)</t>
  </si>
  <si>
    <t>Adder Tranche 3 (TBD)</t>
  </si>
  <si>
    <t>Adder Tranche 2 (TBD)</t>
  </si>
  <si>
    <t>Adder Tranche 1 (80 MW)</t>
  </si>
  <si>
    <r>
      <t xml:space="preserve">Adder Tranche and Value ($/kWh) </t>
    </r>
    <r>
      <rPr>
        <b/>
        <vertAlign val="superscript"/>
        <sz val="10"/>
        <color theme="1"/>
        <rFont val="Calibri"/>
        <family val="2"/>
        <scheme val="minor"/>
      </rPr>
      <t>2</t>
    </r>
  </si>
  <si>
    <t>Generation Unit Type</t>
  </si>
  <si>
    <r>
      <t>Adder Type</t>
    </r>
    <r>
      <rPr>
        <b/>
        <vertAlign val="superscript"/>
        <sz val="10"/>
        <color theme="1"/>
        <rFont val="Calibri"/>
        <family val="2"/>
        <scheme val="minor"/>
      </rPr>
      <t>1</t>
    </r>
  </si>
  <si>
    <t>Summary of Compensation Rate Adder Values by Type and Adder Tranche</t>
  </si>
  <si>
    <t>Project Size</t>
  </si>
  <si>
    <t>Location Based Adder</t>
  </si>
  <si>
    <t>Off-taker Based Adder</t>
  </si>
  <si>
    <t>Length of Compensation Rate Term (Years)</t>
  </si>
  <si>
    <t>Capacity Block</t>
  </si>
  <si>
    <t>Unitil</t>
  </si>
  <si>
    <t>≤25</t>
  </si>
  <si>
    <t>LowIncome≤25</t>
  </si>
  <si>
    <t>&gt;25-250</t>
  </si>
  <si>
    <t>&gt;250-500</t>
  </si>
  <si>
    <t>&gt;500-1000</t>
  </si>
  <si>
    <t>Building</t>
  </si>
  <si>
    <t>Floating</t>
  </si>
  <si>
    <t>Brownfield</t>
  </si>
  <si>
    <t>Landfill</t>
  </si>
  <si>
    <t>Canopy</t>
  </si>
  <si>
    <t>Agricultural</t>
  </si>
  <si>
    <t>PublicEntity</t>
  </si>
  <si>
    <t>Solar tracking Adder</t>
  </si>
  <si>
    <t>Yes</t>
  </si>
  <si>
    <t>Ngrid</t>
  </si>
  <si>
    <t>Eversource</t>
  </si>
  <si>
    <t>MassElectric</t>
  </si>
  <si>
    <t>NantucketElectric</t>
  </si>
  <si>
    <t>UnitilFitch</t>
  </si>
  <si>
    <t>GreaterBoston</t>
  </si>
  <si>
    <t>SouthShore,CC,Vinyard</t>
  </si>
  <si>
    <t>WesternMass</t>
  </si>
  <si>
    <t>SouthShoreCCVinyard</t>
  </si>
  <si>
    <t>EasternMass</t>
  </si>
  <si>
    <t>EasernMass</t>
  </si>
  <si>
    <t>&gt;1000-5000</t>
  </si>
  <si>
    <t>Adder Type1</t>
  </si>
  <si>
    <t>Adder Tranche and Value ($/kWh) 2</t>
  </si>
  <si>
    <t>CommunityShared</t>
  </si>
  <si>
    <t>LowIncomeProperty</t>
  </si>
  <si>
    <t>LowIncomeCommunityShared</t>
  </si>
  <si>
    <t>EDC</t>
  </si>
  <si>
    <t>Helper</t>
  </si>
  <si>
    <t>Results</t>
  </si>
  <si>
    <t>Criteria</t>
  </si>
  <si>
    <t>Calculated Rates</t>
  </si>
  <si>
    <t>Value of Energy ($/kWh)</t>
  </si>
  <si>
    <t>Total Compensation Rate ($/kWh)</t>
  </si>
  <si>
    <t>Compensation Rate Adders ($/kWh)</t>
  </si>
  <si>
    <t>Base Compensation Rate ($/kWh)</t>
  </si>
  <si>
    <t>Click on cells below, choose from dropdown options</t>
  </si>
  <si>
    <t>NGridMassElectric</t>
  </si>
  <si>
    <t>NGridNantucketElectric</t>
  </si>
  <si>
    <t>UnitilUnitilFitch</t>
  </si>
  <si>
    <t>EversourceCambridge</t>
  </si>
  <si>
    <t>EversourceGreaterBoston</t>
  </si>
  <si>
    <t>EversourceSouthShore,CC,Vinyard</t>
  </si>
  <si>
    <t>EversourceWesternMass</t>
  </si>
  <si>
    <t>NationalGrid</t>
  </si>
  <si>
    <t>Energy Storage Adder*</t>
  </si>
  <si>
    <t>https://www.mass.gov/service-details/development-of-the-solar-massachusetts-renewable-target-smart-program</t>
  </si>
  <si>
    <t>SMART Incentive</t>
  </si>
  <si>
    <t>Enter value in cell E12</t>
  </si>
  <si>
    <t>Solar Incentive Payment ($/kWh)</t>
  </si>
  <si>
    <r>
      <rPr>
        <b/>
        <sz val="11"/>
        <color theme="1"/>
        <rFont val="Calibri"/>
        <family val="2"/>
        <scheme val="minor"/>
      </rPr>
      <t>DISCLAIMER</t>
    </r>
    <r>
      <rPr>
        <sz val="11"/>
        <color theme="1"/>
        <rFont val="Calibri"/>
        <family val="2"/>
        <scheme val="minor"/>
      </rPr>
      <t xml:space="preserve">: This SMART Incentive Calculator is intended to provide those that are considering installing a Behind-the-Meter Solar Tariff Generation Unit under the SMART Program with estimates of their Value of Energy and solar incentive payment rate, which will be fixed for the duration of their tariff term. The information contained in this tool is derived from available utility rate information and from DOER's Guideline on Capacity Blocks, Base Compensation Rates, and Compensation Rate Adders. The calculator is provided for estimation purposes only and will be further refined once the SMART Program becomes effective. In the meantime, neither Department of Energy Resources nor the Electric Distribution Companies make any warranties or representations, expressed or implied, as to the usefulness, completeness, or accuracy of the information contained, described, disclosed, or referred to in this tool. </t>
    </r>
  </si>
  <si>
    <t>Solar Massachusetts Renewable Target (SMART) Solar Incentive Calculator</t>
  </si>
  <si>
    <t>*Follow the link below to access DOER's Energy Storage Guideline, which has a separate calculator to calculate the Energy Storage Adder</t>
  </si>
  <si>
    <t>ProjectSize</t>
  </si>
  <si>
    <t>Location</t>
  </si>
  <si>
    <t>Offtaker</t>
  </si>
  <si>
    <t>Tracking</t>
  </si>
  <si>
    <t>ProjectSize2</t>
  </si>
  <si>
    <t>ProjectSize3</t>
  </si>
  <si>
    <t>Current Value of Energy</t>
  </si>
  <si>
    <t>G-2 NEMA</t>
  </si>
  <si>
    <t>G-2 SEMA</t>
  </si>
  <si>
    <t>G-3 NEMA</t>
  </si>
  <si>
    <t>G-3 WCMA</t>
  </si>
  <si>
    <t>G-3 SEMA</t>
  </si>
  <si>
    <t>Residential Basic Service Rates:</t>
  </si>
  <si>
    <t xml:space="preserve">https://www9.nationalgridus.com/masselectric/non_html/ResiTable.pdf </t>
  </si>
  <si>
    <t>Commercial Basic Service Rates:</t>
  </si>
  <si>
    <t>https://www9.nationalgridus.com/masselectric/non_html/CommTable.pdf</t>
  </si>
  <si>
    <t>Industrial Basic Service Rates:</t>
  </si>
  <si>
    <t xml:space="preserve">https://www9.nationalgridus.com/masselectric/non_html/IndTable.pdf  </t>
  </si>
  <si>
    <t>G-2NEMA</t>
  </si>
  <si>
    <t>G-2SEMA</t>
  </si>
  <si>
    <t>G-3NEMA</t>
  </si>
  <si>
    <t>G-3WCMA</t>
  </si>
  <si>
    <t>G-3SEMA</t>
  </si>
  <si>
    <t>G-6</t>
  </si>
  <si>
    <t>G-1D</t>
  </si>
  <si>
    <t>G-1ND</t>
  </si>
  <si>
    <t>Peak</t>
  </si>
  <si>
    <t>Off Peak</t>
  </si>
  <si>
    <t>G-4</t>
  </si>
  <si>
    <t>Winter</t>
  </si>
  <si>
    <t>Summer</t>
  </si>
  <si>
    <t>Tier 1</t>
  </si>
  <si>
    <t>Tier 2</t>
  </si>
  <si>
    <t>Tier 3</t>
  </si>
  <si>
    <t>G-3 (B3)</t>
  </si>
  <si>
    <t>G-3 (G6)</t>
  </si>
  <si>
    <t>T-1</t>
  </si>
  <si>
    <t>W. Peak</t>
  </si>
  <si>
    <t>W. Off Peak</t>
  </si>
  <si>
    <t>S. Peak</t>
  </si>
  <si>
    <t>S. Off Peak</t>
  </si>
  <si>
    <t>T-2 (B7)</t>
  </si>
  <si>
    <t>T-2 (B8)</t>
  </si>
  <si>
    <t>Lo A</t>
  </si>
  <si>
    <t>Lo B</t>
  </si>
  <si>
    <t>G-7S</t>
  </si>
  <si>
    <t>G-1S</t>
  </si>
  <si>
    <t>G-7</t>
  </si>
  <si>
    <t>2H 2017</t>
  </si>
  <si>
    <t>1H 2017</t>
  </si>
  <si>
    <t>2H 2016</t>
  </si>
  <si>
    <t>1H 2016</t>
  </si>
  <si>
    <t>2H 2015</t>
  </si>
  <si>
    <t>1H2015</t>
  </si>
  <si>
    <t>1H 2015</t>
  </si>
  <si>
    <t>Q4 2017</t>
  </si>
  <si>
    <t>Q3 2017</t>
  </si>
  <si>
    <t>Q2 2017</t>
  </si>
  <si>
    <t>Q1 2017</t>
  </si>
  <si>
    <t>Q4 2016</t>
  </si>
  <si>
    <t>Q3 2016</t>
  </si>
  <si>
    <t>Q2 2016</t>
  </si>
  <si>
    <t>Q1 2016</t>
  </si>
  <si>
    <t>Q4 2015</t>
  </si>
  <si>
    <t>Q3 2015</t>
  </si>
  <si>
    <t>Q2 2015</t>
  </si>
  <si>
    <t>Q1 2015</t>
  </si>
  <si>
    <t>G-3(B3)</t>
  </si>
  <si>
    <t>G-3(G6)</t>
  </si>
  <si>
    <t>T-2(B7)</t>
  </si>
  <si>
    <t>T-2(B8)</t>
  </si>
  <si>
    <t>G-2 WCMA</t>
  </si>
  <si>
    <t>G-2WCMA</t>
  </si>
  <si>
    <t>29% discount applied to overall rate, no discount</t>
  </si>
  <si>
    <t>No discount on any rates; R-2 gets a discount amount billed in a month</t>
  </si>
  <si>
    <t>Off-peak vs. on-peak? Weighted Average</t>
  </si>
  <si>
    <t>Weighted averge</t>
  </si>
  <si>
    <t>Weighted average</t>
  </si>
  <si>
    <t>Off-peak vs. on-peak? Summer vs. winter? Same as MECO</t>
  </si>
  <si>
    <t>Weighted averge; CFS for any rate class is not billed out as part of distribution, so would not be in VOE or NMC calculations</t>
  </si>
  <si>
    <t>For rate classes that have off-peak and on-peak and/or seasonal volumetric rates, rates are set based on 30 day bill period and number of peak vs off peak hours</t>
  </si>
  <si>
    <t>N/A</t>
  </si>
  <si>
    <t>Basic Service Rates for G-2 and G-3 rate classes are calculated as a 3 year average by load zone</t>
  </si>
  <si>
    <t>Distribution rates for R-4 and G-3 rate classes, which have off-peak and on-peak rates, are calculated as an average of on/off peak</t>
  </si>
  <si>
    <t>Distribution rates for G-2 and G-3 rates classes for Nantucket are based on the SEMA average</t>
  </si>
  <si>
    <t>for Behind-the-Meter Solar Tariff Generation Units</t>
  </si>
  <si>
    <r>
      <t xml:space="preserve">Instructions: </t>
    </r>
    <r>
      <rPr>
        <sz val="11"/>
        <color theme="1"/>
        <rFont val="Calibri"/>
        <family val="2"/>
        <scheme val="minor"/>
      </rPr>
      <t>Complete system information using the drop down menus in the green cells. Start at the top, working from the EDC to the adders. If you need to change an entry, make sure you confirm all other entries, as drop down lists are dependent upon one another. Purple cells will populate based on choices made in green cells.</t>
    </r>
  </si>
  <si>
    <t>Project Size (kW AC)</t>
  </si>
  <si>
    <r>
      <rPr>
        <vertAlign val="superscript"/>
        <sz val="11"/>
        <color theme="1"/>
        <rFont val="Calibri"/>
        <family val="2"/>
        <scheme val="minor"/>
      </rPr>
      <t>6</t>
    </r>
    <r>
      <rPr>
        <sz val="11"/>
        <color theme="1"/>
        <rFont val="Calibri"/>
        <family val="2"/>
        <scheme val="minor"/>
      </rPr>
      <t xml:space="preserve"> Pursuant to 225 CMR 20.07(3)(b), DOER elected to administratively set NSTAR's Block 1 Base Compensation Rate at $0.17000/kWh. This reflects the price of the single selected bid for a 2 MW project received under the procurement conducted pursuant to 225 CMR 20.07(3)(a). While the NSTAR solicitation was for 46 MW and received 2 MW, the competitive nature of the procurement in other service territories supports a conclusion that the primary reason NSTAR did not receive more than one proposal under the procurement is due to higher costs in its service territory. Accordingly, while DOER considered terminating the solicitation and re-issuing, DOER determined that doing so would likely not yield a significantly different result.</t>
    </r>
  </si>
  <si>
    <t>3 Yr Avg</t>
  </si>
  <si>
    <t>R-1, R-2, and R-4 Basic Service (All Load Zones)</t>
  </si>
  <si>
    <t>G-1 Basic Service (All Load Zones)</t>
  </si>
  <si>
    <t>G-2 and G-3 Basic Service (NEMA)</t>
  </si>
  <si>
    <t>G-2 and G-3 Basic Service (SEMA)</t>
  </si>
  <si>
    <t>G-2 and G-3 Basic Service (WCMA)</t>
  </si>
  <si>
    <t>Yearly Average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</si>
</sst>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164" formatCode="&quot;$&quot;#,##0.00000"/>
    <numFmt numFmtId="165" formatCode="0.00000"/>
    <numFmt numFmtId="166" formatCode="&quot;$&quot;#,##0.00000_);[Red]\(&quot;$&quot;#,##0.00000\)"/>
  </numFmts>
  <fonts count="28" x14ac:knownFonts="1">
    <font>
      <sz val="11"/>
      <color theme="1"/>
      <name val="Calibri"/>
      <family val="2"/>
      <scheme val="minor"/>
    </font>
    <font>
      <b/>
      <sz val="11"/>
      <color theme="1"/>
      <name val="Calibri"/>
      <family val="2"/>
      <scheme val="minor"/>
    </font>
    <font>
      <sz val="11"/>
      <color theme="1"/>
      <name val="Calibri"/>
      <family val="2"/>
    </font>
    <font>
      <b/>
      <sz val="11"/>
      <color theme="1"/>
      <name val="Calibri"/>
      <family val="2"/>
    </font>
    <font>
      <b/>
      <u/>
      <sz val="11"/>
      <color theme="1"/>
      <name val="Calibri"/>
      <family val="2"/>
      <scheme val="minor"/>
    </font>
    <font>
      <u/>
      <sz val="11"/>
      <color theme="10"/>
      <name val="Calibri"/>
      <family val="2"/>
      <scheme val="minor"/>
    </font>
    <font>
      <sz val="10"/>
      <name val="Arial"/>
      <family val="2"/>
    </font>
    <font>
      <b/>
      <sz val="16"/>
      <color theme="1"/>
      <name val="Calibri"/>
      <family val="2"/>
      <scheme val="minor"/>
    </font>
    <font>
      <sz val="11"/>
      <color theme="1"/>
      <name val="Calibri"/>
      <family val="2"/>
      <scheme val="minor"/>
    </font>
    <font>
      <vertAlign val="superscript"/>
      <sz val="11"/>
      <color theme="1"/>
      <name val="Calibri"/>
      <family val="2"/>
      <scheme val="minor"/>
    </font>
    <font>
      <sz val="11"/>
      <color rgb="FF000000"/>
      <name val="Calibri"/>
      <family val="2"/>
    </font>
    <font>
      <b/>
      <vertAlign val="superscript"/>
      <sz val="11"/>
      <color theme="1"/>
      <name val="Calibri"/>
      <family val="2"/>
      <scheme val="minor"/>
    </font>
    <font>
      <b/>
      <sz val="11"/>
      <color rgb="FF000000"/>
      <name val="Calibri"/>
      <family val="2"/>
    </font>
    <font>
      <b/>
      <sz val="18"/>
      <color theme="1"/>
      <name val="Calibri"/>
      <family val="2"/>
      <scheme val="minor"/>
    </font>
    <font>
      <i/>
      <sz val="11"/>
      <color theme="1"/>
      <name val="Calibri"/>
      <family val="2"/>
      <scheme val="minor"/>
    </font>
    <font>
      <sz val="10"/>
      <color theme="1"/>
      <name val="Calibri"/>
      <family val="2"/>
      <scheme val="minor"/>
    </font>
    <font>
      <b/>
      <sz val="10"/>
      <color theme="1"/>
      <name val="Calibri"/>
      <family val="2"/>
      <scheme val="minor"/>
    </font>
    <font>
      <b/>
      <vertAlign val="superscript"/>
      <sz val="10"/>
      <color theme="1"/>
      <name val="Calibri"/>
      <family val="2"/>
      <scheme val="minor"/>
    </font>
    <font>
      <sz val="9"/>
      <color theme="1"/>
      <name val="Calibri"/>
      <family val="2"/>
      <scheme val="minor"/>
    </font>
    <font>
      <sz val="14"/>
      <color theme="1"/>
      <name val="Calibri"/>
      <family val="2"/>
      <scheme val="minor"/>
    </font>
    <font>
      <b/>
      <sz val="14"/>
      <color theme="1"/>
      <name val="Calibri"/>
      <family val="2"/>
      <scheme val="minor"/>
    </font>
    <font>
      <b/>
      <sz val="11"/>
      <color theme="0"/>
      <name val="Calibri"/>
      <family val="2"/>
      <scheme val="minor"/>
    </font>
    <font>
      <u/>
      <sz val="9"/>
      <color theme="10"/>
      <name val="Calibri"/>
      <family val="2"/>
      <scheme val="minor"/>
    </font>
    <font>
      <sz val="11"/>
      <name val="Calibri"/>
      <family val="2"/>
      <scheme val="minor"/>
    </font>
    <font>
      <sz val="12"/>
      <name val="Arial"/>
      <family val="2"/>
    </font>
    <font>
      <sz val="11"/>
      <color theme="1"/>
      <name val="Calibri"/>
      <family val="2"/>
    </font>
    <font>
      <sz val="11"/>
      <color theme="0"/>
      <name val="Calibri"/>
      <family val="2"/>
      <scheme val="minor"/>
    </font>
    <font>
      <b/>
      <sz val="12"/>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3"/>
        <bgColor indexed="64"/>
      </patternFill>
    </fill>
    <fill>
      <patternFill patternType="solid">
        <fgColor theme="7" tint="0.39997558519241921"/>
        <bgColor indexed="64"/>
      </patternFill>
    </fill>
    <fill>
      <patternFill patternType="solid">
        <fgColor theme="6" tint="0.59999389629810485"/>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bottom style="thin">
        <color indexed="64"/>
      </bottom>
      <diagonal/>
    </border>
  </borders>
  <cellStyleXfs count="7">
    <xf numFmtId="0" fontId="0" fillId="0" borderId="0"/>
    <xf numFmtId="0" fontId="5" fillId="0" borderId="0" applyNumberFormat="0" applyFill="0" applyBorder="0" applyAlignment="0" applyProtection="0"/>
    <xf numFmtId="0" fontId="6" fillId="0" borderId="0"/>
    <xf numFmtId="44" fontId="8" fillId="0" borderId="0" applyFont="0" applyFill="0" applyBorder="0" applyAlignment="0" applyProtection="0"/>
    <xf numFmtId="9" fontId="8" fillId="0" borderId="0" applyFont="0" applyFill="0" applyBorder="0" applyAlignment="0" applyProtection="0"/>
    <xf numFmtId="0" fontId="24" fillId="0" borderId="0"/>
    <xf numFmtId="0" fontId="24" fillId="0" borderId="0"/>
  </cellStyleXfs>
  <cellXfs count="260">
    <xf numFmtId="0" fontId="0" fillId="0" borderId="0" xfId="0"/>
    <xf numFmtId="0" fontId="2" fillId="0" borderId="1" xfId="0" applyFont="1" applyFill="1" applyBorder="1" applyAlignment="1">
      <alignment horizontal="center" vertical="center"/>
    </xf>
    <xf numFmtId="164" fontId="2" fillId="0" borderId="1" xfId="0" applyNumberFormat="1" applyFont="1" applyFill="1" applyBorder="1"/>
    <xf numFmtId="0" fontId="0" fillId="0" borderId="0" xfId="0" applyAlignment="1">
      <alignment wrapText="1"/>
    </xf>
    <xf numFmtId="164" fontId="0" fillId="0" borderId="1" xfId="0" applyNumberFormat="1" applyBorder="1"/>
    <xf numFmtId="0" fontId="3" fillId="0" borderId="1" xfId="0" applyFont="1" applyFill="1" applyBorder="1" applyAlignment="1">
      <alignment horizontal="center" vertical="center"/>
    </xf>
    <xf numFmtId="0" fontId="0" fillId="0" borderId="0" xfId="0" applyFill="1"/>
    <xf numFmtId="0" fontId="2" fillId="0" borderId="0" xfId="0" applyFont="1" applyFill="1" applyBorder="1" applyAlignment="1">
      <alignment horizontal="center" vertical="center"/>
    </xf>
    <xf numFmtId="164" fontId="2" fillId="0" borderId="0" xfId="0" applyNumberFormat="1" applyFont="1" applyFill="1" applyBorder="1"/>
    <xf numFmtId="0" fontId="4" fillId="0" borderId="0" xfId="0" applyFont="1"/>
    <xf numFmtId="0" fontId="5" fillId="0" borderId="0" xfId="1"/>
    <xf numFmtId="164" fontId="0" fillId="0" borderId="0" xfId="0" applyNumberFormat="1" applyFill="1" applyBorder="1"/>
    <xf numFmtId="0" fontId="0" fillId="0" borderId="0" xfId="0" applyFill="1" applyBorder="1"/>
    <xf numFmtId="0" fontId="3" fillId="0" borderId="0" xfId="0" applyFont="1" applyFill="1" applyBorder="1" applyAlignment="1">
      <alignment vertical="center"/>
    </xf>
    <xf numFmtId="0" fontId="2" fillId="0" borderId="0" xfId="0" applyFont="1" applyFill="1" applyBorder="1" applyAlignment="1">
      <alignment vertical="center"/>
    </xf>
    <xf numFmtId="0" fontId="0" fillId="0" borderId="1" xfId="0" applyFill="1" applyBorder="1" applyAlignment="1">
      <alignment horizontal="center"/>
    </xf>
    <xf numFmtId="164" fontId="0" fillId="0" borderId="1" xfId="0" applyNumberFormat="1" applyFill="1" applyBorder="1"/>
    <xf numFmtId="165" fontId="0" fillId="0" borderId="0" xfId="0" applyNumberFormat="1" applyFill="1" applyAlignment="1">
      <alignment vertical="center"/>
    </xf>
    <xf numFmtId="0" fontId="1" fillId="0" borderId="0" xfId="0" applyFont="1"/>
    <xf numFmtId="164" fontId="0" fillId="0" borderId="2" xfId="0" applyNumberFormat="1" applyBorder="1"/>
    <xf numFmtId="0" fontId="2" fillId="0" borderId="0" xfId="0" applyFont="1" applyFill="1" applyBorder="1" applyAlignment="1">
      <alignment horizontal="left" vertical="center"/>
    </xf>
    <xf numFmtId="0" fontId="0" fillId="0" borderId="7" xfId="0" applyBorder="1"/>
    <xf numFmtId="0" fontId="0" fillId="0" borderId="8" xfId="0" applyBorder="1"/>
    <xf numFmtId="0" fontId="0" fillId="0" borderId="0" xfId="0" applyBorder="1"/>
    <xf numFmtId="0" fontId="0" fillId="0" borderId="10" xfId="0" applyBorder="1"/>
    <xf numFmtId="0" fontId="1" fillId="0" borderId="1" xfId="0" applyFont="1" applyBorder="1" applyAlignment="1">
      <alignment horizontal="center" vertical="center"/>
    </xf>
    <xf numFmtId="164" fontId="0" fillId="0" borderId="0" xfId="0" applyNumberFormat="1" applyBorder="1"/>
    <xf numFmtId="0" fontId="0" fillId="0" borderId="15" xfId="0" applyBorder="1"/>
    <xf numFmtId="164" fontId="0" fillId="0" borderId="10" xfId="0" applyNumberFormat="1" applyBorder="1"/>
    <xf numFmtId="164" fontId="0" fillId="0" borderId="16" xfId="0" applyNumberFormat="1" applyBorder="1"/>
    <xf numFmtId="0" fontId="0" fillId="0" borderId="0" xfId="0" quotePrefix="1" applyAlignment="1">
      <alignment horizontal="left"/>
    </xf>
    <xf numFmtId="49" fontId="2" fillId="0" borderId="1" xfId="0" applyNumberFormat="1" applyFont="1" applyFill="1"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xf>
    <xf numFmtId="0" fontId="0" fillId="0" borderId="11" xfId="0" applyFill="1" applyBorder="1" applyAlignment="1">
      <alignment horizontal="center" vertical="center"/>
    </xf>
    <xf numFmtId="0" fontId="1" fillId="0" borderId="0" xfId="0" applyFont="1" applyFill="1" applyBorder="1" applyAlignment="1"/>
    <xf numFmtId="0" fontId="1" fillId="0" borderId="0" xfId="0" applyFont="1" applyFill="1" applyBorder="1" applyAlignment="1">
      <alignment horizontal="center" vertical="center"/>
    </xf>
    <xf numFmtId="0" fontId="1" fillId="0" borderId="0" xfId="0" applyFont="1" applyFill="1" applyBorder="1" applyAlignment="1">
      <alignment horizontal="center"/>
    </xf>
    <xf numFmtId="0" fontId="1" fillId="0" borderId="9" xfId="0" applyFont="1" applyBorder="1" applyAlignment="1">
      <alignment horizontal="center" vertical="center"/>
    </xf>
    <xf numFmtId="0" fontId="0" fillId="0" borderId="9" xfId="0" applyBorder="1" applyAlignment="1">
      <alignment horizontal="center"/>
    </xf>
    <xf numFmtId="0" fontId="0" fillId="0" borderId="25" xfId="0" applyBorder="1"/>
    <xf numFmtId="0" fontId="0" fillId="0" borderId="25" xfId="0" applyBorder="1" applyAlignment="1">
      <alignment horizontal="center"/>
    </xf>
    <xf numFmtId="0" fontId="1" fillId="0" borderId="25" xfId="0" applyFont="1" applyFill="1" applyBorder="1" applyAlignment="1"/>
    <xf numFmtId="0" fontId="1" fillId="0" borderId="25" xfId="0" applyFont="1" applyBorder="1" applyAlignment="1">
      <alignment horizontal="center" vertical="center"/>
    </xf>
    <xf numFmtId="0" fontId="0" fillId="0" borderId="26" xfId="0" applyBorder="1" applyAlignment="1">
      <alignment horizontal="center"/>
    </xf>
    <xf numFmtId="0" fontId="0" fillId="0" borderId="15" xfId="0" applyFill="1" applyBorder="1"/>
    <xf numFmtId="0" fontId="1" fillId="0" borderId="9" xfId="0" applyFont="1" applyBorder="1" applyAlignment="1">
      <alignment horizontal="center"/>
    </xf>
    <xf numFmtId="0" fontId="0" fillId="0" borderId="9" xfId="0" applyFill="1" applyBorder="1" applyAlignment="1">
      <alignment horizontal="center"/>
    </xf>
    <xf numFmtId="0" fontId="0" fillId="0" borderId="12" xfId="0" applyFill="1" applyBorder="1" applyAlignment="1">
      <alignment horizontal="center"/>
    </xf>
    <xf numFmtId="0" fontId="0" fillId="0" borderId="9" xfId="0" applyBorder="1" applyAlignment="1">
      <alignment horizontal="center" vertical="center"/>
    </xf>
    <xf numFmtId="0" fontId="0" fillId="2" borderId="0" xfId="0" applyFill="1"/>
    <xf numFmtId="0" fontId="1" fillId="2" borderId="0" xfId="0" applyFont="1" applyFill="1" applyBorder="1" applyAlignment="1">
      <alignment vertical="center" wrapText="1"/>
    </xf>
    <xf numFmtId="164" fontId="10" fillId="2" borderId="14" xfId="0" applyNumberFormat="1" applyFont="1" applyFill="1" applyBorder="1" applyAlignment="1">
      <alignment horizontal="center" vertical="center" wrapText="1" readingOrder="1"/>
    </xf>
    <xf numFmtId="164" fontId="10" fillId="2" borderId="13" xfId="0" applyNumberFormat="1" applyFont="1" applyFill="1" applyBorder="1" applyAlignment="1">
      <alignment horizontal="center" vertical="center" wrapText="1" readingOrder="1"/>
    </xf>
    <xf numFmtId="0" fontId="0" fillId="2" borderId="13" xfId="0" applyFont="1" applyFill="1" applyBorder="1" applyAlignment="1">
      <alignment horizontal="center" vertical="center" wrapText="1"/>
    </xf>
    <xf numFmtId="9" fontId="8" fillId="2" borderId="13" xfId="4" applyFont="1" applyFill="1" applyBorder="1" applyAlignment="1">
      <alignment horizontal="center" vertical="center" wrapText="1"/>
    </xf>
    <xf numFmtId="0" fontId="0" fillId="2" borderId="13" xfId="0" applyFont="1" applyFill="1" applyBorder="1" applyAlignment="1">
      <alignment horizontal="left" vertical="center" wrapText="1"/>
    </xf>
    <xf numFmtId="164" fontId="10" fillId="2" borderId="11" xfId="0" applyNumberFormat="1" applyFont="1" applyFill="1" applyBorder="1" applyAlignment="1">
      <alignment horizontal="center" vertical="center" wrapText="1" readingOrder="1"/>
    </xf>
    <xf numFmtId="164" fontId="10" fillId="2" borderId="1" xfId="0" applyNumberFormat="1" applyFont="1" applyFill="1" applyBorder="1" applyAlignment="1">
      <alignment horizontal="center" vertical="center" wrapText="1" readingOrder="1"/>
    </xf>
    <xf numFmtId="164" fontId="0" fillId="2" borderId="1" xfId="0" applyNumberFormat="1" applyFill="1" applyBorder="1" applyAlignment="1">
      <alignment horizontal="center"/>
    </xf>
    <xf numFmtId="0" fontId="0" fillId="2" borderId="1" xfId="0" applyFont="1" applyFill="1" applyBorder="1" applyAlignment="1">
      <alignment horizontal="center" vertical="center" wrapText="1"/>
    </xf>
    <xf numFmtId="9" fontId="8" fillId="2" borderId="1" xfId="4" applyFont="1" applyFill="1" applyBorder="1" applyAlignment="1">
      <alignment horizontal="center" vertical="center" wrapText="1"/>
    </xf>
    <xf numFmtId="0" fontId="0" fillId="2" borderId="1" xfId="0" applyFont="1" applyFill="1" applyBorder="1" applyAlignment="1">
      <alignment horizontal="left" vertical="center" wrapText="1"/>
    </xf>
    <xf numFmtId="164" fontId="10" fillId="2" borderId="29" xfId="0" applyNumberFormat="1" applyFont="1" applyFill="1" applyBorder="1" applyAlignment="1">
      <alignment horizontal="center" vertical="center" wrapText="1" readingOrder="1"/>
    </xf>
    <xf numFmtId="164" fontId="10" fillId="2" borderId="6" xfId="0" applyNumberFormat="1" applyFont="1" applyFill="1" applyBorder="1" applyAlignment="1">
      <alignment horizontal="center" vertical="center" wrapText="1" readingOrder="1"/>
    </xf>
    <xf numFmtId="0" fontId="0" fillId="2" borderId="6" xfId="0" applyFont="1" applyFill="1" applyBorder="1" applyAlignment="1">
      <alignment horizontal="center" vertical="center" wrapText="1"/>
    </xf>
    <xf numFmtId="9" fontId="8" fillId="2" borderId="6" xfId="4" applyFont="1" applyFill="1" applyBorder="1" applyAlignment="1">
      <alignment horizontal="center" vertical="center" wrapText="1"/>
    </xf>
    <xf numFmtId="0" fontId="0" fillId="2" borderId="6" xfId="0" applyFont="1" applyFill="1" applyBorder="1" applyAlignment="1">
      <alignment horizontal="left" vertical="center" wrapText="1"/>
    </xf>
    <xf numFmtId="164" fontId="10" fillId="2" borderId="31" xfId="0" applyNumberFormat="1" applyFont="1" applyFill="1" applyBorder="1" applyAlignment="1">
      <alignment horizontal="center" vertical="center" wrapText="1" readingOrder="1"/>
    </xf>
    <xf numFmtId="164" fontId="10" fillId="2" borderId="18" xfId="0" applyNumberFormat="1" applyFont="1" applyFill="1" applyBorder="1" applyAlignment="1">
      <alignment horizontal="center" vertical="center" wrapText="1" readingOrder="1"/>
    </xf>
    <xf numFmtId="0" fontId="0" fillId="2" borderId="18" xfId="0" applyFont="1" applyFill="1" applyBorder="1" applyAlignment="1">
      <alignment horizontal="center" vertical="center" wrapText="1"/>
    </xf>
    <xf numFmtId="9" fontId="8" fillId="2" borderId="18" xfId="4" applyFont="1" applyFill="1" applyBorder="1" applyAlignment="1">
      <alignment horizontal="center" vertical="center" wrapText="1"/>
    </xf>
    <xf numFmtId="0" fontId="0" fillId="2" borderId="18" xfId="0" applyFont="1" applyFill="1" applyBorder="1" applyAlignment="1">
      <alignment horizontal="left" vertical="center" wrapText="1"/>
    </xf>
    <xf numFmtId="164" fontId="10" fillId="2" borderId="32" xfId="0" applyNumberFormat="1" applyFont="1" applyFill="1" applyBorder="1" applyAlignment="1">
      <alignment horizontal="center" vertical="center" wrapText="1" readingOrder="1"/>
    </xf>
    <xf numFmtId="0" fontId="0" fillId="2" borderId="32" xfId="0" applyFont="1" applyFill="1" applyBorder="1" applyAlignment="1">
      <alignment horizontal="center" vertical="center" wrapText="1"/>
    </xf>
    <xf numFmtId="164" fontId="10" fillId="2" borderId="4" xfId="0" applyNumberFormat="1" applyFont="1" applyFill="1" applyBorder="1" applyAlignment="1">
      <alignment horizontal="center" vertical="center" wrapText="1" readingOrder="1"/>
    </xf>
    <xf numFmtId="0" fontId="0" fillId="2" borderId="4" xfId="0" applyFont="1" applyFill="1" applyBorder="1" applyAlignment="1">
      <alignment horizontal="center" vertical="center" wrapText="1"/>
    </xf>
    <xf numFmtId="164" fontId="10" fillId="2" borderId="34" xfId="0" applyNumberFormat="1" applyFont="1" applyFill="1" applyBorder="1" applyAlignment="1">
      <alignment horizontal="center" vertical="center" wrapText="1" readingOrder="1"/>
    </xf>
    <xf numFmtId="0" fontId="0" fillId="2" borderId="34" xfId="0" applyFont="1" applyFill="1" applyBorder="1" applyAlignment="1">
      <alignment horizontal="center" vertical="center" wrapText="1"/>
    </xf>
    <xf numFmtId="164" fontId="10" fillId="2" borderId="35" xfId="0" applyNumberFormat="1" applyFont="1" applyFill="1" applyBorder="1" applyAlignment="1">
      <alignment horizontal="center" vertical="center" wrapText="1" readingOrder="1"/>
    </xf>
    <xf numFmtId="164" fontId="10" fillId="2" borderId="17" xfId="0" applyNumberFormat="1" applyFont="1" applyFill="1" applyBorder="1" applyAlignment="1">
      <alignment horizontal="center" vertical="center" wrapText="1" readingOrder="1"/>
    </xf>
    <xf numFmtId="0" fontId="0" fillId="2" borderId="17" xfId="0" applyFont="1" applyFill="1" applyBorder="1" applyAlignment="1">
      <alignment horizontal="center" vertical="center" wrapText="1"/>
    </xf>
    <xf numFmtId="9" fontId="8" fillId="2" borderId="17" xfId="4" applyFont="1" applyFill="1" applyBorder="1" applyAlignment="1">
      <alignment horizontal="center" vertical="center" wrapText="1"/>
    </xf>
    <xf numFmtId="0" fontId="0" fillId="2" borderId="17" xfId="0" applyFont="1" applyFill="1" applyBorder="1" applyAlignment="1">
      <alignment horizontal="left" vertical="center" wrapText="1"/>
    </xf>
    <xf numFmtId="0" fontId="12" fillId="2" borderId="36" xfId="0" applyFont="1" applyFill="1" applyBorder="1" applyAlignment="1">
      <alignment horizontal="center" vertical="center" wrapText="1" readingOrder="1"/>
    </xf>
    <xf numFmtId="0" fontId="12" fillId="2" borderId="37" xfId="0" applyFont="1" applyFill="1" applyBorder="1" applyAlignment="1">
      <alignment horizontal="center" vertical="center" wrapText="1" readingOrder="1"/>
    </xf>
    <xf numFmtId="0" fontId="1" fillId="2" borderId="37" xfId="0" applyFont="1" applyFill="1" applyBorder="1" applyAlignment="1">
      <alignment horizontal="center" vertical="center" wrapText="1"/>
    </xf>
    <xf numFmtId="0" fontId="1" fillId="2" borderId="38" xfId="0" applyFont="1" applyFill="1" applyBorder="1" applyAlignment="1">
      <alignment horizontal="center" vertical="center" wrapText="1"/>
    </xf>
    <xf numFmtId="0" fontId="1" fillId="2" borderId="0" xfId="0" applyFont="1" applyFill="1" applyAlignment="1">
      <alignment horizontal="left"/>
    </xf>
    <xf numFmtId="166" fontId="15" fillId="2" borderId="36" xfId="0" applyNumberFormat="1" applyFont="1" applyFill="1" applyBorder="1" applyAlignment="1">
      <alignment horizontal="center" vertical="center"/>
    </xf>
    <xf numFmtId="166" fontId="15" fillId="2" borderId="37" xfId="0" applyNumberFormat="1" applyFont="1" applyFill="1" applyBorder="1" applyAlignment="1">
      <alignment horizontal="center" vertical="center"/>
    </xf>
    <xf numFmtId="166" fontId="15" fillId="2" borderId="37" xfId="0" applyNumberFormat="1" applyFont="1" applyFill="1" applyBorder="1" applyAlignment="1">
      <alignment horizontal="center"/>
    </xf>
    <xf numFmtId="166" fontId="15" fillId="2" borderId="38" xfId="0" applyNumberFormat="1" applyFont="1" applyFill="1" applyBorder="1" applyAlignment="1">
      <alignment horizontal="center"/>
    </xf>
    <xf numFmtId="0" fontId="15" fillId="2" borderId="39" xfId="0" applyFont="1" applyFill="1" applyBorder="1"/>
    <xf numFmtId="0" fontId="16" fillId="2" borderId="21" xfId="0" applyFont="1" applyFill="1" applyBorder="1" applyAlignment="1">
      <alignment horizontal="center" vertical="center"/>
    </xf>
    <xf numFmtId="166" fontId="15" fillId="2" borderId="14" xfId="0" applyNumberFormat="1" applyFont="1" applyFill="1" applyBorder="1" applyAlignment="1">
      <alignment horizontal="center" vertical="center"/>
    </xf>
    <xf numFmtId="166" fontId="15" fillId="2" borderId="13" xfId="0" applyNumberFormat="1" applyFont="1" applyFill="1" applyBorder="1" applyAlignment="1">
      <alignment horizontal="center" vertical="center"/>
    </xf>
    <xf numFmtId="166" fontId="15" fillId="2" borderId="13" xfId="0" applyNumberFormat="1" applyFont="1" applyFill="1" applyBorder="1" applyAlignment="1">
      <alignment horizontal="center"/>
    </xf>
    <xf numFmtId="166" fontId="15" fillId="2" borderId="12" xfId="0" applyNumberFormat="1" applyFont="1" applyFill="1" applyBorder="1" applyAlignment="1">
      <alignment horizontal="center"/>
    </xf>
    <xf numFmtId="0" fontId="15" fillId="2" borderId="40" xfId="0" applyFont="1" applyFill="1" applyBorder="1"/>
    <xf numFmtId="166" fontId="15" fillId="2" borderId="11" xfId="0" applyNumberFormat="1" applyFont="1" applyFill="1" applyBorder="1" applyAlignment="1">
      <alignment horizontal="center" vertical="center"/>
    </xf>
    <xf numFmtId="166" fontId="15" fillId="2" borderId="1" xfId="0" applyNumberFormat="1" applyFont="1" applyFill="1" applyBorder="1" applyAlignment="1">
      <alignment horizontal="center" vertical="center"/>
    </xf>
    <xf numFmtId="166" fontId="15" fillId="2" borderId="1" xfId="0" applyNumberFormat="1" applyFont="1" applyFill="1" applyBorder="1" applyAlignment="1">
      <alignment horizontal="center"/>
    </xf>
    <xf numFmtId="166" fontId="15" fillId="2" borderId="9" xfId="0" applyNumberFormat="1" applyFont="1" applyFill="1" applyBorder="1" applyAlignment="1">
      <alignment horizontal="center"/>
    </xf>
    <xf numFmtId="0" fontId="15" fillId="2" borderId="3" xfId="0" applyFont="1" applyFill="1" applyBorder="1"/>
    <xf numFmtId="166" fontId="15" fillId="2" borderId="29" xfId="0" applyNumberFormat="1" applyFont="1" applyFill="1" applyBorder="1" applyAlignment="1">
      <alignment horizontal="center" vertical="center"/>
    </xf>
    <xf numFmtId="166" fontId="15" fillId="2" borderId="6" xfId="0" applyNumberFormat="1" applyFont="1" applyFill="1" applyBorder="1" applyAlignment="1">
      <alignment horizontal="center" vertical="center"/>
    </xf>
    <xf numFmtId="166" fontId="15" fillId="2" borderId="6" xfId="0" applyNumberFormat="1" applyFont="1" applyFill="1" applyBorder="1" applyAlignment="1">
      <alignment horizontal="center"/>
    </xf>
    <xf numFmtId="166" fontId="15" fillId="2" borderId="5" xfId="0" applyNumberFormat="1" applyFont="1" applyFill="1" applyBorder="1" applyAlignment="1">
      <alignment horizontal="center"/>
    </xf>
    <xf numFmtId="0" fontId="15" fillId="2" borderId="43" xfId="0" applyFont="1" applyFill="1" applyBorder="1"/>
    <xf numFmtId="0" fontId="16" fillId="2" borderId="14"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3" fillId="2" borderId="0" xfId="0" applyFont="1" applyFill="1" applyBorder="1" applyAlignment="1">
      <alignment vertical="center"/>
    </xf>
    <xf numFmtId="0" fontId="2" fillId="0" borderId="0" xfId="0" applyFont="1"/>
    <xf numFmtId="0" fontId="2" fillId="0" borderId="1" xfId="0" applyNumberFormat="1" applyFont="1" applyFill="1" applyBorder="1" applyAlignment="1">
      <alignment horizontal="center" vertical="center"/>
    </xf>
    <xf numFmtId="0" fontId="1" fillId="0" borderId="0" xfId="0" applyFont="1" applyAlignment="1">
      <alignment wrapText="1"/>
    </xf>
    <xf numFmtId="2" fontId="0" fillId="0" borderId="0" xfId="0" applyNumberFormat="1"/>
    <xf numFmtId="0" fontId="3" fillId="0" borderId="1" xfId="0" applyFont="1" applyFill="1" applyBorder="1" applyAlignment="1">
      <alignment horizontal="center" vertical="center"/>
    </xf>
    <xf numFmtId="0" fontId="5" fillId="0" borderId="0" xfId="1" applyFill="1" applyBorder="1" applyAlignment="1">
      <alignment vertical="center"/>
    </xf>
    <xf numFmtId="0" fontId="25" fillId="0" borderId="0" xfId="0" applyFont="1" applyFill="1" applyBorder="1" applyAlignment="1">
      <alignment horizontal="center" vertical="center"/>
    </xf>
    <xf numFmtId="0" fontId="25" fillId="0" borderId="0" xfId="0" applyFont="1" applyFill="1" applyAlignment="1">
      <alignment horizontal="center" vertical="center"/>
    </xf>
    <xf numFmtId="0" fontId="2" fillId="0" borderId="17" xfId="0" applyFont="1" applyFill="1" applyBorder="1" applyAlignment="1">
      <alignment horizontal="center" vertical="center"/>
    </xf>
    <xf numFmtId="0" fontId="3" fillId="0" borderId="1" xfId="0" applyFont="1" applyFill="1" applyBorder="1" applyAlignment="1">
      <alignment horizontal="center" vertical="center"/>
    </xf>
    <xf numFmtId="49" fontId="2" fillId="0" borderId="1" xfId="0" quotePrefix="1" applyNumberFormat="1" applyFont="1" applyFill="1" applyBorder="1" applyAlignment="1">
      <alignment horizontal="center" vertical="center"/>
    </xf>
    <xf numFmtId="9" fontId="0" fillId="0" borderId="0" xfId="4" applyFont="1" applyAlignment="1">
      <alignment horizontal="center"/>
    </xf>
    <xf numFmtId="9" fontId="0" fillId="0" borderId="0" xfId="0" applyNumberFormat="1"/>
    <xf numFmtId="9" fontId="0" fillId="0" borderId="0" xfId="0" applyNumberFormat="1" applyAlignment="1">
      <alignment horizontal="center"/>
    </xf>
    <xf numFmtId="9" fontId="0" fillId="0" borderId="0" xfId="4" applyFont="1"/>
    <xf numFmtId="0" fontId="0" fillId="0" borderId="1" xfId="0" applyBorder="1" applyAlignment="1">
      <alignment horizontal="center"/>
    </xf>
    <xf numFmtId="165" fontId="0" fillId="0" borderId="1" xfId="0" applyNumberFormat="1" applyBorder="1" applyAlignment="1">
      <alignment horizontal="center"/>
    </xf>
    <xf numFmtId="165" fontId="0" fillId="0" borderId="1" xfId="0" applyNumberFormat="1" applyFill="1" applyBorder="1" applyAlignment="1">
      <alignment horizontal="center"/>
    </xf>
    <xf numFmtId="165" fontId="0" fillId="0" borderId="11" xfId="0" applyNumberFormat="1" applyBorder="1" applyAlignment="1">
      <alignment horizontal="center"/>
    </xf>
    <xf numFmtId="0" fontId="0" fillId="0" borderId="13" xfId="0" applyFill="1" applyBorder="1" applyAlignment="1">
      <alignment horizontal="center"/>
    </xf>
    <xf numFmtId="165" fontId="0" fillId="0" borderId="13" xfId="0" applyNumberFormat="1" applyFill="1" applyBorder="1" applyAlignment="1">
      <alignment horizontal="center"/>
    </xf>
    <xf numFmtId="165" fontId="0" fillId="0" borderId="14" xfId="0" applyNumberFormat="1" applyBorder="1" applyAlignment="1">
      <alignment horizontal="center"/>
    </xf>
    <xf numFmtId="165" fontId="26" fillId="0" borderId="0" xfId="0" applyNumberFormat="1" applyFont="1" applyFill="1" applyAlignment="1">
      <alignment vertical="center"/>
    </xf>
    <xf numFmtId="0" fontId="2" fillId="0" borderId="3" xfId="0" applyFont="1" applyFill="1" applyBorder="1" applyAlignment="1">
      <alignment horizontal="center" vertical="center"/>
    </xf>
    <xf numFmtId="0" fontId="2" fillId="0" borderId="47" xfId="0" applyFont="1" applyFill="1" applyBorder="1" applyAlignment="1">
      <alignment horizontal="center" vertical="center"/>
    </xf>
    <xf numFmtId="0" fontId="23" fillId="8" borderId="1" xfId="0" applyFont="1" applyFill="1" applyBorder="1" applyAlignment="1" applyProtection="1">
      <alignment horizontal="center"/>
      <protection locked="0"/>
    </xf>
    <xf numFmtId="0" fontId="23" fillId="8" borderId="1" xfId="0" applyNumberFormat="1" applyFont="1" applyFill="1" applyBorder="1" applyAlignment="1" applyProtection="1">
      <alignment horizontal="center"/>
      <protection locked="0"/>
    </xf>
    <xf numFmtId="0" fontId="0" fillId="3" borderId="33" xfId="0" applyFill="1" applyBorder="1" applyProtection="1"/>
    <xf numFmtId="0" fontId="0" fillId="3" borderId="7" xfId="0" applyFill="1" applyBorder="1" applyProtection="1"/>
    <xf numFmtId="0" fontId="0" fillId="3" borderId="8" xfId="0" applyFill="1" applyBorder="1" applyProtection="1"/>
    <xf numFmtId="0" fontId="0" fillId="0" borderId="0" xfId="0" applyProtection="1"/>
    <xf numFmtId="0" fontId="20" fillId="3" borderId="25" xfId="0" applyFont="1" applyFill="1" applyBorder="1" applyAlignment="1" applyProtection="1">
      <alignment horizontal="center"/>
    </xf>
    <xf numFmtId="0" fontId="20" fillId="3" borderId="0" xfId="0" applyFont="1" applyFill="1" applyBorder="1" applyAlignment="1" applyProtection="1">
      <alignment horizontal="center" vertical="center"/>
    </xf>
    <xf numFmtId="0" fontId="20" fillId="3" borderId="10" xfId="0" applyFont="1" applyFill="1" applyBorder="1" applyAlignment="1" applyProtection="1">
      <alignment horizontal="center"/>
    </xf>
    <xf numFmtId="0" fontId="0" fillId="3" borderId="25" xfId="0" applyFill="1" applyBorder="1" applyProtection="1"/>
    <xf numFmtId="0" fontId="19" fillId="3" borderId="0" xfId="0" applyFont="1" applyFill="1" applyBorder="1" applyAlignment="1" applyProtection="1">
      <alignment horizontal="center"/>
    </xf>
    <xf numFmtId="0" fontId="0" fillId="3" borderId="10" xfId="0" applyFill="1" applyBorder="1" applyProtection="1"/>
    <xf numFmtId="0" fontId="21" fillId="6" borderId="1" xfId="0" applyFont="1" applyFill="1" applyBorder="1" applyAlignment="1" applyProtection="1">
      <alignment horizontal="center" vertical="center"/>
    </xf>
    <xf numFmtId="0" fontId="21" fillId="6" borderId="1"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wrapText="1"/>
    </xf>
    <xf numFmtId="0" fontId="21" fillId="3" borderId="0" xfId="0" applyFont="1" applyFill="1" applyBorder="1" applyAlignment="1" applyProtection="1">
      <alignment horizontal="center" vertical="center"/>
    </xf>
    <xf numFmtId="0" fontId="0" fillId="4" borderId="1" xfId="0" applyFill="1" applyBorder="1" applyAlignment="1" applyProtection="1">
      <alignment horizontal="center"/>
    </xf>
    <xf numFmtId="0" fontId="0" fillId="3" borderId="0" xfId="0" applyFill="1" applyBorder="1" applyAlignment="1" applyProtection="1">
      <alignment horizontal="center"/>
    </xf>
    <xf numFmtId="0" fontId="0" fillId="5" borderId="1" xfId="0" applyFill="1" applyBorder="1" applyAlignment="1" applyProtection="1">
      <alignment horizontal="center"/>
    </xf>
    <xf numFmtId="0" fontId="0" fillId="3" borderId="0" xfId="0" applyNumberFormat="1" applyFill="1" applyBorder="1" applyAlignment="1" applyProtection="1">
      <alignment horizontal="center"/>
    </xf>
    <xf numFmtId="164" fontId="0" fillId="5" borderId="1" xfId="0" applyNumberFormat="1" applyFill="1" applyBorder="1" applyAlignment="1" applyProtection="1">
      <alignment horizontal="center"/>
    </xf>
    <xf numFmtId="164" fontId="0" fillId="3" borderId="0" xfId="0" applyNumberFormat="1" applyFill="1" applyBorder="1" applyAlignment="1" applyProtection="1">
      <alignment horizontal="center"/>
    </xf>
    <xf numFmtId="0" fontId="23" fillId="4" borderId="1" xfId="0" applyFont="1" applyFill="1" applyBorder="1" applyAlignment="1" applyProtection="1">
      <alignment horizontal="center"/>
    </xf>
    <xf numFmtId="0" fontId="23" fillId="3" borderId="0" xfId="0" applyFont="1" applyFill="1" applyBorder="1" applyAlignment="1" applyProtection="1">
      <alignment horizontal="center"/>
    </xf>
    <xf numFmtId="0" fontId="18" fillId="3" borderId="0" xfId="0" applyFont="1" applyFill="1" applyBorder="1" applyAlignment="1" applyProtection="1"/>
    <xf numFmtId="0" fontId="0" fillId="3" borderId="0" xfId="0" applyFill="1" applyBorder="1" applyProtection="1"/>
    <xf numFmtId="0" fontId="18" fillId="3" borderId="0" xfId="0" applyFont="1" applyFill="1" applyBorder="1" applyProtection="1"/>
    <xf numFmtId="0" fontId="18" fillId="3" borderId="25" xfId="0" applyFont="1" applyFill="1" applyBorder="1" applyProtection="1"/>
    <xf numFmtId="0" fontId="22" fillId="3" borderId="0" xfId="1" applyFont="1" applyFill="1" applyBorder="1" applyProtection="1"/>
    <xf numFmtId="0" fontId="18" fillId="3" borderId="10" xfId="0" applyFont="1" applyFill="1" applyBorder="1" applyProtection="1"/>
    <xf numFmtId="0" fontId="18" fillId="0" borderId="0" xfId="0" applyFont="1" applyProtection="1"/>
    <xf numFmtId="0" fontId="1" fillId="3" borderId="0" xfId="0" applyFont="1" applyFill="1" applyBorder="1" applyAlignment="1" applyProtection="1">
      <alignment horizontal="center"/>
    </xf>
    <xf numFmtId="0" fontId="0" fillId="4" borderId="1" xfId="0" applyFill="1" applyBorder="1" applyProtection="1"/>
    <xf numFmtId="0" fontId="0" fillId="3" borderId="26" xfId="0" applyFill="1" applyBorder="1" applyProtection="1"/>
    <xf numFmtId="0" fontId="0" fillId="3" borderId="16" xfId="0" applyFill="1" applyBorder="1" applyProtection="1"/>
    <xf numFmtId="0" fontId="0" fillId="0" borderId="1" xfId="0" applyBorder="1" applyAlignment="1">
      <alignment horizontal="center" vertical="center"/>
    </xf>
    <xf numFmtId="0" fontId="1" fillId="0" borderId="1" xfId="0" applyFont="1" applyBorder="1" applyAlignment="1">
      <alignment horizontal="center"/>
    </xf>
    <xf numFmtId="0" fontId="1" fillId="0" borderId="9" xfId="0" applyFont="1" applyBorder="1" applyAlignment="1">
      <alignment horizontal="center"/>
    </xf>
    <xf numFmtId="0" fontId="1" fillId="0" borderId="1" xfId="0" applyFont="1" applyFill="1" applyBorder="1" applyAlignment="1">
      <alignment horizontal="center"/>
    </xf>
    <xf numFmtId="0" fontId="1" fillId="0" borderId="1" xfId="0" applyFont="1" applyFill="1" applyBorder="1" applyAlignment="1">
      <alignment horizontal="center" vertical="center"/>
    </xf>
    <xf numFmtId="0" fontId="1" fillId="0" borderId="11" xfId="0" applyFont="1" applyFill="1" applyBorder="1" applyAlignment="1">
      <alignment horizontal="center" vertical="center"/>
    </xf>
    <xf numFmtId="0" fontId="0" fillId="0" borderId="0" xfId="0" applyBorder="1" applyAlignment="1">
      <alignment horizontal="center"/>
    </xf>
    <xf numFmtId="0" fontId="0" fillId="0" borderId="7" xfId="0" applyBorder="1" applyAlignment="1">
      <alignment horizontal="center"/>
    </xf>
    <xf numFmtId="0" fontId="0" fillId="0" borderId="10" xfId="0" applyBorder="1" applyAlignment="1">
      <alignment horizontal="center"/>
    </xf>
    <xf numFmtId="0" fontId="0" fillId="0" borderId="18" xfId="0" applyBorder="1" applyAlignment="1">
      <alignment horizontal="center"/>
    </xf>
    <xf numFmtId="0" fontId="0" fillId="0" borderId="48" xfId="0" applyBorder="1" applyAlignment="1">
      <alignment horizontal="center"/>
    </xf>
    <xf numFmtId="0" fontId="1" fillId="0" borderId="11" xfId="0" applyFont="1" applyBorder="1" applyAlignment="1">
      <alignment horizontal="center"/>
    </xf>
    <xf numFmtId="0" fontId="0" fillId="0" borderId="12" xfId="0" applyBorder="1" applyAlignment="1">
      <alignment horizontal="center"/>
    </xf>
    <xf numFmtId="165" fontId="0" fillId="0" borderId="0" xfId="0" applyNumberFormat="1" applyBorder="1" applyAlignment="1">
      <alignment horizontal="center"/>
    </xf>
    <xf numFmtId="165" fontId="0" fillId="0" borderId="2" xfId="0" applyNumberFormat="1" applyBorder="1" applyAlignment="1">
      <alignment horizontal="center"/>
    </xf>
    <xf numFmtId="165" fontId="0" fillId="0" borderId="10" xfId="0" applyNumberFormat="1" applyBorder="1" applyAlignment="1">
      <alignment horizontal="center"/>
    </xf>
    <xf numFmtId="165" fontId="0" fillId="0" borderId="13" xfId="0" applyNumberFormat="1" applyBorder="1" applyAlignment="1">
      <alignment horizontal="center"/>
    </xf>
    <xf numFmtId="165" fontId="0" fillId="0" borderId="15" xfId="0" applyNumberFormat="1" applyBorder="1" applyAlignment="1">
      <alignment horizontal="center"/>
    </xf>
    <xf numFmtId="0" fontId="0" fillId="0" borderId="16" xfId="0" applyBorder="1"/>
    <xf numFmtId="164" fontId="0" fillId="0" borderId="11" xfId="0" applyNumberFormat="1" applyBorder="1" applyAlignment="1">
      <alignment horizontal="center"/>
    </xf>
    <xf numFmtId="164" fontId="0" fillId="0" borderId="1" xfId="3" applyNumberFormat="1" applyFont="1" applyBorder="1" applyAlignment="1">
      <alignment horizontal="center" vertical="center"/>
    </xf>
    <xf numFmtId="0" fontId="0" fillId="0" borderId="13" xfId="0" applyBorder="1" applyAlignment="1">
      <alignment horizontal="center" vertical="center"/>
    </xf>
    <xf numFmtId="164" fontId="0" fillId="0" borderId="13" xfId="3" applyNumberFormat="1" applyFont="1" applyBorder="1" applyAlignment="1">
      <alignment horizontal="center" vertical="center"/>
    </xf>
    <xf numFmtId="164" fontId="0" fillId="0" borderId="1" xfId="0" applyNumberFormat="1" applyBorder="1" applyAlignment="1">
      <alignment horizontal="center"/>
    </xf>
    <xf numFmtId="0" fontId="1" fillId="0" borderId="2" xfId="0" applyFont="1" applyBorder="1" applyAlignment="1">
      <alignment horizontal="center"/>
    </xf>
    <xf numFmtId="0" fontId="1" fillId="3" borderId="17" xfId="0" applyFont="1" applyFill="1" applyBorder="1" applyAlignment="1" applyProtection="1">
      <alignment horizontal="center" vertical="center" wrapText="1"/>
    </xf>
    <xf numFmtId="0" fontId="21" fillId="3" borderId="46" xfId="0" applyFont="1" applyFill="1" applyBorder="1" applyAlignment="1" applyProtection="1">
      <alignment horizontal="center" vertical="center" wrapText="1"/>
    </xf>
    <xf numFmtId="0" fontId="21" fillId="3" borderId="18" xfId="0" applyFont="1" applyFill="1" applyBorder="1" applyAlignment="1" applyProtection="1">
      <alignment horizontal="center" vertical="center" wrapText="1"/>
    </xf>
    <xf numFmtId="0" fontId="21" fillId="6" borderId="1" xfId="0" applyFont="1" applyFill="1" applyBorder="1" applyAlignment="1" applyProtection="1">
      <alignment horizontal="center" vertical="center"/>
    </xf>
    <xf numFmtId="0" fontId="20" fillId="7" borderId="0" xfId="0" applyFont="1" applyFill="1" applyBorder="1" applyAlignment="1" applyProtection="1">
      <alignment horizontal="center" vertical="center"/>
    </xf>
    <xf numFmtId="0" fontId="27" fillId="7" borderId="0" xfId="0" applyFont="1" applyFill="1" applyBorder="1" applyAlignment="1" applyProtection="1">
      <alignment horizontal="center" vertical="center"/>
    </xf>
    <xf numFmtId="0" fontId="0" fillId="3" borderId="0" xfId="0" applyFill="1" applyBorder="1" applyAlignment="1" applyProtection="1">
      <alignment horizontal="center" vertical="top" wrapText="1"/>
    </xf>
    <xf numFmtId="0" fontId="0" fillId="3" borderId="15" xfId="0" applyFill="1" applyBorder="1" applyAlignment="1" applyProtection="1">
      <alignment horizontal="center" vertical="top"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1" fillId="0" borderId="20" xfId="0" applyFont="1" applyBorder="1" applyAlignment="1">
      <alignment horizontal="center"/>
    </xf>
    <xf numFmtId="0" fontId="1" fillId="0" borderId="19" xfId="0" applyFont="1" applyBorder="1" applyAlignment="1">
      <alignment horizontal="center"/>
    </xf>
    <xf numFmtId="0" fontId="3" fillId="0" borderId="17"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xf>
    <xf numFmtId="0" fontId="1" fillId="0" borderId="1" xfId="0" quotePrefix="1" applyFont="1" applyBorder="1" applyAlignment="1">
      <alignment horizontal="center"/>
    </xf>
    <xf numFmtId="0" fontId="1" fillId="0" borderId="1" xfId="0" applyFont="1" applyBorder="1" applyAlignment="1">
      <alignment horizontal="center"/>
    </xf>
    <xf numFmtId="0" fontId="7" fillId="0" borderId="24" xfId="0" applyFont="1" applyBorder="1" applyAlignment="1">
      <alignment horizontal="center" vertical="center" textRotation="90"/>
    </xf>
    <xf numFmtId="0" fontId="7" fillId="0" borderId="22" xfId="0" applyFont="1" applyBorder="1" applyAlignment="1">
      <alignment horizontal="center" vertical="center" textRotation="90"/>
    </xf>
    <xf numFmtId="0" fontId="7" fillId="0" borderId="23" xfId="0" applyFont="1" applyBorder="1" applyAlignment="1">
      <alignment horizontal="center" vertical="center" textRotation="90"/>
    </xf>
    <xf numFmtId="0" fontId="1" fillId="0" borderId="5" xfId="0" applyFont="1" applyBorder="1" applyAlignment="1">
      <alignment horizontal="center"/>
    </xf>
    <xf numFmtId="0" fontId="1" fillId="0" borderId="6" xfId="0" applyFont="1" applyBorder="1" applyAlignment="1">
      <alignment horizontal="center"/>
    </xf>
    <xf numFmtId="0" fontId="1" fillId="0" borderId="9" xfId="0" applyFont="1" applyBorder="1" applyAlignment="1">
      <alignment horizontal="center"/>
    </xf>
    <xf numFmtId="0" fontId="1" fillId="0" borderId="9" xfId="0" applyFont="1" applyFill="1" applyBorder="1" applyAlignment="1">
      <alignment horizontal="center"/>
    </xf>
    <xf numFmtId="0" fontId="1" fillId="0" borderId="1" xfId="0" applyFont="1" applyFill="1" applyBorder="1" applyAlignment="1">
      <alignment horizontal="center"/>
    </xf>
    <xf numFmtId="0" fontId="1" fillId="0" borderId="11" xfId="0" applyFont="1" applyFill="1" applyBorder="1" applyAlignment="1">
      <alignment horizontal="center"/>
    </xf>
    <xf numFmtId="0" fontId="1" fillId="0" borderId="1" xfId="0" applyFont="1" applyFill="1" applyBorder="1" applyAlignment="1">
      <alignment horizontal="center" vertical="center"/>
    </xf>
    <xf numFmtId="0" fontId="1" fillId="0" borderId="11" xfId="0" applyFont="1" applyFill="1" applyBorder="1" applyAlignment="1">
      <alignment horizontal="center" vertical="center"/>
    </xf>
    <xf numFmtId="0" fontId="7" fillId="0" borderId="33" xfId="0" applyFont="1" applyBorder="1" applyAlignment="1">
      <alignment horizontal="center" vertical="center" textRotation="90"/>
    </xf>
    <xf numFmtId="0" fontId="7" fillId="0" borderId="25" xfId="0" applyFont="1" applyBorder="1" applyAlignment="1">
      <alignment horizontal="center" vertical="center" textRotation="90"/>
    </xf>
    <xf numFmtId="0" fontId="7" fillId="0" borderId="26" xfId="0" applyFont="1" applyBorder="1" applyAlignment="1">
      <alignment horizontal="center" vertical="center" textRotation="90"/>
    </xf>
    <xf numFmtId="0" fontId="1" fillId="0" borderId="29" xfId="0" applyFont="1" applyBorder="1" applyAlignment="1">
      <alignment horizontal="center"/>
    </xf>
    <xf numFmtId="0" fontId="1" fillId="0" borderId="11" xfId="0" applyFont="1" applyBorder="1" applyAlignment="1">
      <alignment horizontal="center"/>
    </xf>
    <xf numFmtId="0" fontId="0" fillId="2" borderId="0" xfId="0" applyFill="1" applyAlignment="1">
      <alignment horizontal="left" wrapText="1"/>
    </xf>
    <xf numFmtId="0" fontId="0" fillId="2" borderId="0" xfId="0" applyFill="1" applyBorder="1" applyAlignment="1">
      <alignment horizontal="left" wrapText="1"/>
    </xf>
    <xf numFmtId="0" fontId="13" fillId="2" borderId="0" xfId="0" applyFont="1" applyFill="1" applyBorder="1" applyAlignment="1">
      <alignment horizontal="center" vertical="center"/>
    </xf>
    <xf numFmtId="0" fontId="1" fillId="2" borderId="30"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27" xfId="0" applyFont="1" applyFill="1" applyBorder="1" applyAlignment="1">
      <alignment horizontal="center" vertical="center" wrapText="1"/>
    </xf>
    <xf numFmtId="164" fontId="12" fillId="2" borderId="33" xfId="0" applyNumberFormat="1" applyFont="1" applyFill="1" applyBorder="1" applyAlignment="1">
      <alignment horizontal="center" vertical="center" wrapText="1" readingOrder="1"/>
    </xf>
    <xf numFmtId="164" fontId="12" fillId="2" borderId="7" xfId="0" applyNumberFormat="1" applyFont="1" applyFill="1" applyBorder="1" applyAlignment="1">
      <alignment horizontal="center" vertical="center" wrapText="1" readingOrder="1"/>
    </xf>
    <xf numFmtId="164" fontId="12" fillId="2" borderId="8" xfId="0" applyNumberFormat="1" applyFont="1" applyFill="1" applyBorder="1" applyAlignment="1">
      <alignment horizontal="center" vertical="center" wrapText="1" readingOrder="1"/>
    </xf>
    <xf numFmtId="164" fontId="12" fillId="2" borderId="25" xfId="0" applyNumberFormat="1" applyFont="1" applyFill="1" applyBorder="1" applyAlignment="1">
      <alignment horizontal="center" vertical="center" wrapText="1" readingOrder="1"/>
    </xf>
    <xf numFmtId="164" fontId="12" fillId="2" borderId="0" xfId="0" applyNumberFormat="1" applyFont="1" applyFill="1" applyBorder="1" applyAlignment="1">
      <alignment horizontal="center" vertical="center" wrapText="1" readingOrder="1"/>
    </xf>
    <xf numFmtId="164" fontId="12" fillId="2" borderId="10" xfId="0" applyNumberFormat="1" applyFont="1" applyFill="1" applyBorder="1" applyAlignment="1">
      <alignment horizontal="center" vertical="center" wrapText="1" readingOrder="1"/>
    </xf>
    <xf numFmtId="164" fontId="12" fillId="2" borderId="26" xfId="0" applyNumberFormat="1" applyFont="1" applyFill="1" applyBorder="1" applyAlignment="1">
      <alignment horizontal="center" vertical="center" wrapText="1" readingOrder="1"/>
    </xf>
    <xf numFmtId="164" fontId="12" fillId="2" borderId="15" xfId="0" applyNumberFormat="1" applyFont="1" applyFill="1" applyBorder="1" applyAlignment="1">
      <alignment horizontal="center" vertical="center" wrapText="1" readingOrder="1"/>
    </xf>
    <xf numFmtId="164" fontId="12" fillId="2" borderId="16" xfId="0" applyNumberFormat="1" applyFont="1" applyFill="1" applyBorder="1" applyAlignment="1">
      <alignment horizontal="center" vertical="center" wrapText="1" readingOrder="1"/>
    </xf>
    <xf numFmtId="0" fontId="0" fillId="2" borderId="0" xfId="0" applyFill="1" applyAlignment="1">
      <alignment horizontal="left" vertical="top" wrapText="1"/>
    </xf>
    <xf numFmtId="0" fontId="0" fillId="0" borderId="0" xfId="0" applyFill="1" applyAlignment="1">
      <alignment horizontal="left" vertical="top" wrapText="1"/>
    </xf>
    <xf numFmtId="0" fontId="16" fillId="2" borderId="24" xfId="0" applyFont="1" applyFill="1" applyBorder="1" applyAlignment="1">
      <alignment horizontal="center" vertical="center"/>
    </xf>
    <xf numFmtId="0" fontId="16" fillId="2" borderId="43" xfId="0" applyFont="1" applyFill="1" applyBorder="1" applyAlignment="1">
      <alignment horizontal="center" vertical="center"/>
    </xf>
    <xf numFmtId="0" fontId="16" fillId="2" borderId="45"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23" xfId="0" applyFont="1" applyFill="1" applyBorder="1" applyAlignment="1">
      <alignment horizontal="center" vertical="center"/>
    </xf>
    <xf numFmtId="0" fontId="16" fillId="2" borderId="44" xfId="0" applyFont="1" applyFill="1" applyBorder="1" applyAlignment="1">
      <alignment horizontal="center" vertical="center"/>
    </xf>
    <xf numFmtId="0" fontId="16" fillId="2" borderId="41" xfId="0" applyFont="1" applyFill="1" applyBorder="1" applyAlignment="1">
      <alignment horizontal="center" vertical="center"/>
    </xf>
  </cellXfs>
  <cellStyles count="7">
    <cellStyle name="Currency" xfId="3" builtinId="4"/>
    <cellStyle name="Hyperlink" xfId="1" builtinId="8"/>
    <cellStyle name="Normal" xfId="0" builtinId="0"/>
    <cellStyle name="Normal 2" xfId="2"/>
    <cellStyle name="Normal 4" xfId="5"/>
    <cellStyle name="Normal 5" xfId="6"/>
    <cellStyle name="Percent" xfId="4" builtinId="5"/>
  </cellStyles>
  <dxfs count="12">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judge.ENV\AppData\Local\Microsoft\Windows\Temporary%20Internet%20Files\Content.Outlook\8G8SE622\SMART%20BTM%20Value%20of%20Energy%20Workbook%20(031618)_Eversour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ator"/>
      <sheetName val="Eversource"/>
      <sheetName val="Unitil"/>
      <sheetName val="National Grid"/>
      <sheetName val="Basic Service Rates"/>
      <sheetName val="Base Compensation Rates"/>
      <sheetName val="Compensation Rate Adders"/>
      <sheetName val="Tables"/>
      <sheetName val="Base rates"/>
      <sheetName val="Adders"/>
      <sheetName val="VOE"/>
      <sheetName val="Eversource (2)"/>
      <sheetName val="SMART BTM Value of Energy Workb"/>
    </sheetNames>
    <sheetDataSet>
      <sheetData sheetId="0"/>
      <sheetData sheetId="1"/>
      <sheetData sheetId="2"/>
      <sheetData sheetId="3"/>
      <sheetData sheetId="4">
        <row r="33">
          <cell r="I33">
            <v>0.10871</v>
          </cell>
        </row>
      </sheetData>
      <sheetData sheetId="5"/>
      <sheetData sheetId="6"/>
      <sheetData sheetId="7"/>
      <sheetData sheetId="8"/>
      <sheetData sheetId="9"/>
      <sheetData sheetId="10"/>
      <sheetData sheetId="11"/>
      <sheetData sheetId="12" refreshError="1"/>
    </sheetDataSet>
  </externalBook>
</externalLink>
</file>

<file path=xl/tables/table1.xml><?xml version="1.0" encoding="utf-8"?>
<table xmlns="http://schemas.openxmlformats.org/spreadsheetml/2006/main" id="1" name="Table1" displayName="Table1" ref="A1:A4" totalsRowShown="0">
  <autoFilter ref="A1:A4"/>
  <tableColumns count="1">
    <tableColumn id="1" name="Electric Distribution Company"/>
  </tableColumns>
  <tableStyleInfo name="TableStyleLight1" showFirstColumn="0" showLastColumn="0" showRowStripes="1" showColumnStripes="0"/>
</table>
</file>

<file path=xl/tables/table10.xml><?xml version="1.0" encoding="utf-8"?>
<table xmlns="http://schemas.openxmlformats.org/spreadsheetml/2006/main" id="13" name="Table13" displayName="Table13" ref="B6:B7" totalsRowShown="0">
  <autoFilter ref="B6:B7"/>
  <tableColumns count="1">
    <tableColumn id="1" name="Unitil"/>
  </tableColumns>
  <tableStyleInfo name="TableStyleLight1" showFirstColumn="0" showLastColumn="0" showRowStripes="1" showColumnStripes="0"/>
</table>
</file>

<file path=xl/tables/table11.xml><?xml version="1.0" encoding="utf-8"?>
<table xmlns="http://schemas.openxmlformats.org/spreadsheetml/2006/main" id="14" name="Table14" displayName="Table14" ref="C6:C10" totalsRowShown="0">
  <autoFilter ref="C6:C10"/>
  <tableColumns count="1">
    <tableColumn id="1" name="Eversource"/>
  </tableColumns>
  <tableStyleInfo name="TableStyleLight1" showFirstColumn="0" showLastColumn="0" showRowStripes="1" showColumnStripes="0"/>
</table>
</file>

<file path=xl/tables/table12.xml><?xml version="1.0" encoding="utf-8"?>
<table xmlns="http://schemas.openxmlformats.org/spreadsheetml/2006/main" id="4" name="Table4" displayName="Table4" ref="C12:C19" totalsRowShown="0" dataDxfId="7">
  <autoFilter ref="C12:C19"/>
  <tableColumns count="1">
    <tableColumn id="1" name="UnitilFitch" dataDxfId="6"/>
  </tableColumns>
  <tableStyleInfo name="TableStyleLight1" showFirstColumn="0" showLastColumn="0" showRowStripes="1" showColumnStripes="0"/>
</table>
</file>

<file path=xl/tables/table13.xml><?xml version="1.0" encoding="utf-8"?>
<table xmlns="http://schemas.openxmlformats.org/spreadsheetml/2006/main" id="16" name="Table16" displayName="Table16" ref="D13:D23" totalsRowShown="0" dataDxfId="5">
  <autoFilter ref="D13:D23"/>
  <tableColumns count="1">
    <tableColumn id="1" name="Cambridge" dataDxfId="4"/>
  </tableColumns>
  <tableStyleInfo name="TableStyleLight1" showFirstColumn="0" showLastColumn="0" showRowStripes="1" showColumnStripes="0"/>
</table>
</file>

<file path=xl/tables/table14.xml><?xml version="1.0" encoding="utf-8"?>
<table xmlns="http://schemas.openxmlformats.org/spreadsheetml/2006/main" id="17" name="Table17" displayName="Table17" ref="E13:E25" totalsRowShown="0" dataDxfId="3">
  <autoFilter ref="E13:E25"/>
  <tableColumns count="1">
    <tableColumn id="1" name="GreaterBoston" dataDxfId="2"/>
  </tableColumns>
  <tableStyleInfo name="TableStyleLight1" showFirstColumn="0" showLastColumn="0" showRowStripes="1" showColumnStripes="0"/>
</table>
</file>

<file path=xl/tables/table15.xml><?xml version="1.0" encoding="utf-8"?>
<table xmlns="http://schemas.openxmlformats.org/spreadsheetml/2006/main" id="18" name="Table18" displayName="Table18" ref="F13:F23" totalsRowShown="0" dataDxfId="1">
  <autoFilter ref="F13:F23"/>
  <tableColumns count="1">
    <tableColumn id="1" name="SouthShore,CC,Vinyard" dataDxfId="0"/>
  </tableColumns>
  <tableStyleInfo name="TableStyleLight1" showFirstColumn="0" showLastColumn="0" showRowStripes="1" showColumnStripes="0"/>
</table>
</file>

<file path=xl/tables/table16.xml><?xml version="1.0" encoding="utf-8"?>
<table xmlns="http://schemas.openxmlformats.org/spreadsheetml/2006/main" id="19" name="Table19" displayName="Table19" ref="G13:G25" totalsRowShown="0">
  <autoFilter ref="G13:G25"/>
  <tableColumns count="1">
    <tableColumn id="1" name="WesternMass"/>
  </tableColumns>
  <tableStyleInfo name="TableStyleLight1" showFirstColumn="0" showLastColumn="0" showRowStripes="1" showColumnStripes="0"/>
</table>
</file>

<file path=xl/tables/table17.xml><?xml version="1.0" encoding="utf-8"?>
<table xmlns="http://schemas.openxmlformats.org/spreadsheetml/2006/main" id="6" name="Table6" displayName="Table6" ref="D6:D9" totalsRowShown="0">
  <autoFilter ref="D6:D9"/>
  <tableColumns count="1">
    <tableColumn id="1" name="EasernMass"/>
  </tableColumns>
  <tableStyleInfo name="TableStyleLight1" showFirstColumn="0" showLastColumn="0" showRowStripes="1" showColumnStripes="0"/>
</table>
</file>

<file path=xl/tables/table18.xml><?xml version="1.0" encoding="utf-8"?>
<table xmlns="http://schemas.openxmlformats.org/spreadsheetml/2006/main" id="8" name="Table8" displayName="Table8" ref="C35:C43" totalsRowShown="0">
  <autoFilter ref="C35:C43"/>
  <tableColumns count="1">
    <tableColumn id="1" name="NGridMassElectric"/>
  </tableColumns>
  <tableStyleInfo name="TableStyleLight1" showFirstColumn="0" showLastColumn="0" showRowStripes="1" showColumnStripes="0"/>
</table>
</file>

<file path=xl/tables/table19.xml><?xml version="1.0" encoding="utf-8"?>
<table xmlns="http://schemas.openxmlformats.org/spreadsheetml/2006/main" id="15" name="Table15" displayName="Table15" ref="D35:D37" totalsRowShown="0">
  <autoFilter ref="D35:D37"/>
  <tableColumns count="1">
    <tableColumn id="1" name="NGridNantucketElectric"/>
  </tableColumns>
  <tableStyleInfo name="TableStyleLight1" showFirstColumn="0" showLastColumn="0" showRowStripes="1" showColumnStripes="0"/>
</table>
</file>

<file path=xl/tables/table2.xml><?xml version="1.0" encoding="utf-8"?>
<table xmlns="http://schemas.openxmlformats.org/spreadsheetml/2006/main" id="2" name="Table2" displayName="Table2" ref="A13:A23" totalsRowShown="0" dataDxfId="11">
  <autoFilter ref="A13:A23"/>
  <tableColumns count="1">
    <tableColumn id="1" name="MassElectric" dataDxfId="10"/>
  </tableColumns>
  <tableStyleInfo name="TableStyleLight1" showFirstColumn="0" showLastColumn="0" showRowStripes="1" showColumnStripes="0"/>
</table>
</file>

<file path=xl/tables/table20.xml><?xml version="1.0" encoding="utf-8"?>
<table xmlns="http://schemas.openxmlformats.org/spreadsheetml/2006/main" id="20" name="Table20" displayName="Table20" ref="E35:E39" totalsRowShown="0">
  <autoFilter ref="E35:E39"/>
  <tableColumns count="1">
    <tableColumn id="1" name="UnitilUnitilFitch"/>
  </tableColumns>
  <tableStyleInfo name="TableStyleLight1" showFirstColumn="0" showLastColumn="0" showRowStripes="1" showColumnStripes="0"/>
</table>
</file>

<file path=xl/tables/table21.xml><?xml version="1.0" encoding="utf-8"?>
<table xmlns="http://schemas.openxmlformats.org/spreadsheetml/2006/main" id="21" name="Table21" displayName="Table21" ref="F35:F43" totalsRowShown="0">
  <autoFilter ref="F35:F43"/>
  <tableColumns count="1">
    <tableColumn id="1" name="EversourceCambridge"/>
  </tableColumns>
  <tableStyleInfo name="TableStyleLight1" showFirstColumn="0" showLastColumn="0" showRowStripes="1" showColumnStripes="0"/>
</table>
</file>

<file path=xl/tables/table22.xml><?xml version="1.0" encoding="utf-8"?>
<table xmlns="http://schemas.openxmlformats.org/spreadsheetml/2006/main" id="22" name="Table22" displayName="Table22" ref="G35:G43" totalsRowShown="0">
  <autoFilter ref="G35:G43"/>
  <tableColumns count="1">
    <tableColumn id="1" name="EversourceGreaterBoston"/>
  </tableColumns>
  <tableStyleInfo name="TableStyleLight1" showFirstColumn="0" showLastColumn="0" showRowStripes="1" showColumnStripes="0"/>
</table>
</file>

<file path=xl/tables/table23.xml><?xml version="1.0" encoding="utf-8"?>
<table xmlns="http://schemas.openxmlformats.org/spreadsheetml/2006/main" id="23" name="Table23" displayName="Table23" ref="H35:H43" totalsRowShown="0">
  <autoFilter ref="H35:H43"/>
  <tableColumns count="1">
    <tableColumn id="1" name="EversourceSouthShore,CC,Vinyard"/>
  </tableColumns>
  <tableStyleInfo name="TableStyleLight1" showFirstColumn="0" showLastColumn="0" showRowStripes="1" showColumnStripes="0"/>
</table>
</file>

<file path=xl/tables/table24.xml><?xml version="1.0" encoding="utf-8"?>
<table xmlns="http://schemas.openxmlformats.org/spreadsheetml/2006/main" id="24" name="Table24" displayName="Table24" ref="I35:I43" totalsRowShown="0">
  <autoFilter ref="I35:I43"/>
  <tableColumns count="1">
    <tableColumn id="1" name="EversourceWesternMass"/>
  </tableColumns>
  <tableStyleInfo name="TableStyleLight1" showFirstColumn="0" showLastColumn="0" showRowStripes="1" showColumnStripes="0"/>
</table>
</file>

<file path=xl/tables/table25.xml><?xml version="1.0" encoding="utf-8"?>
<table xmlns="http://schemas.openxmlformats.org/spreadsheetml/2006/main" id="25" name="ValidationLists" displayName="ValidationLists" ref="A61:B91" totalsRowShown="0">
  <autoFilter ref="A61:B91"/>
  <tableColumns count="2">
    <tableColumn id="1" name="ProjectSize"/>
    <tableColumn id="2" name="Location"/>
  </tableColumns>
  <tableStyleInfo name="TableStyleMedium1" showFirstColumn="0" showLastColumn="0" showRowStripes="1" showColumnStripes="0"/>
</table>
</file>

<file path=xl/tables/table26.xml><?xml version="1.0" encoding="utf-8"?>
<table xmlns="http://schemas.openxmlformats.org/spreadsheetml/2006/main" id="26" name="Sizes" displayName="Sizes" ref="F61:F67" totalsRowShown="0">
  <autoFilter ref="F61:F67"/>
  <tableColumns count="1">
    <tableColumn id="1" name="ProjectSize"/>
  </tableColumns>
  <tableStyleInfo name="TableStyleMedium1" showFirstColumn="0" showLastColumn="0" showRowStripes="1" showColumnStripes="0"/>
</table>
</file>

<file path=xl/tables/table27.xml><?xml version="1.0" encoding="utf-8"?>
<table xmlns="http://schemas.openxmlformats.org/spreadsheetml/2006/main" id="27" name="Offtaker2" displayName="Offtaker2" ref="A93:B115" totalsRowShown="0">
  <autoFilter ref="A93:B115"/>
  <tableColumns count="2">
    <tableColumn id="1" name="ProjectSize2"/>
    <tableColumn id="2" name="Offtaker"/>
  </tableColumns>
  <tableStyleInfo name="TableStyleMedium1" showFirstColumn="0" showLastColumn="0" showRowStripes="1" showColumnStripes="0"/>
</table>
</file>

<file path=xl/tables/table28.xml><?xml version="1.0" encoding="utf-8"?>
<table xmlns="http://schemas.openxmlformats.org/spreadsheetml/2006/main" id="28" name="Tracking3" displayName="Tracking3" ref="A117:B127" totalsRowShown="0">
  <autoFilter ref="A117:B127"/>
  <tableColumns count="2">
    <tableColumn id="1" name="ProjectSize3"/>
    <tableColumn id="2" name="Tracking"/>
  </tableColumns>
  <tableStyleInfo name="TableStyleMedium1" showFirstColumn="0" showLastColumn="0" showRowStripes="1" showColumnStripes="0"/>
</table>
</file>

<file path=xl/tables/table29.xml><?xml version="1.0" encoding="utf-8"?>
<table xmlns="http://schemas.openxmlformats.org/spreadsheetml/2006/main" id="29" name="Table29" displayName="Table29" ref="A25:A30" totalsRowShown="0">
  <autoFilter ref="A25:A30"/>
  <tableColumns count="1">
    <tableColumn id="1" name="Project Size"/>
  </tableColumns>
  <tableStyleInfo name="TableStyleLight1" showFirstColumn="0" showLastColumn="0" showRowStripes="1" showColumnStripes="0"/>
</table>
</file>

<file path=xl/tables/table3.xml><?xml version="1.0" encoding="utf-8"?>
<table xmlns="http://schemas.openxmlformats.org/spreadsheetml/2006/main" id="3" name="Table3" displayName="Table3" ref="B13:B19" totalsRowShown="0" dataDxfId="9">
  <autoFilter ref="B13:B19"/>
  <tableColumns count="1">
    <tableColumn id="1" name="NantucketElectric" dataDxfId="8"/>
  </tableColumns>
  <tableStyleInfo name="TableStyleLight1" showFirstColumn="0" showLastColumn="0" showRowStripes="1" showColumnStripes="0"/>
</table>
</file>

<file path=xl/tables/table4.xml><?xml version="1.0" encoding="utf-8"?>
<table xmlns="http://schemas.openxmlformats.org/spreadsheetml/2006/main" id="5" name="Table5" displayName="Table5" ref="C47:C55" totalsRowShown="0">
  <autoFilter ref="C47:C55"/>
  <tableColumns count="1">
    <tableColumn id="1" name="Capacity Block"/>
  </tableColumns>
  <tableStyleInfo name="TableStyleLight1" showFirstColumn="0" showLastColumn="0" showRowStripes="1" showColumnStripes="0"/>
</table>
</file>

<file path=xl/tables/table5.xml><?xml version="1.0" encoding="utf-8"?>
<table xmlns="http://schemas.openxmlformats.org/spreadsheetml/2006/main" id="7" name="Table7" displayName="Table7" ref="A33:A39" totalsRowShown="0">
  <autoFilter ref="A33:A39"/>
  <tableColumns count="1">
    <tableColumn id="1" name="Project Size"/>
  </tableColumns>
  <tableStyleInfo name="TableStyleLight1" showFirstColumn="0" showLastColumn="0" showRowStripes="1" showColumnStripes="0"/>
</table>
</file>

<file path=xl/tables/table6.xml><?xml version="1.0" encoding="utf-8"?>
<table xmlns="http://schemas.openxmlformats.org/spreadsheetml/2006/main" id="9" name="Table9" displayName="Table9" ref="A41:A48" totalsRowShown="0">
  <autoFilter ref="A41:A48"/>
  <tableColumns count="1">
    <tableColumn id="1" name="Location Based Adder"/>
  </tableColumns>
  <tableStyleInfo name="TableStyleLight1" showFirstColumn="0" showLastColumn="0" showRowStripes="1" showColumnStripes="0"/>
</table>
</file>

<file path=xl/tables/table7.xml><?xml version="1.0" encoding="utf-8"?>
<table xmlns="http://schemas.openxmlformats.org/spreadsheetml/2006/main" id="10" name="Table10" displayName="Table10" ref="A50:A55" totalsRowShown="0">
  <autoFilter ref="A50:A55"/>
  <tableColumns count="1">
    <tableColumn id="1" name="Off-taker Based Adder"/>
  </tableColumns>
  <tableStyleInfo name="TableStyleLight1" showFirstColumn="0" showLastColumn="0" showRowStripes="1" showColumnStripes="0"/>
</table>
</file>

<file path=xl/tables/table8.xml><?xml version="1.0" encoding="utf-8"?>
<table xmlns="http://schemas.openxmlformats.org/spreadsheetml/2006/main" id="11" name="Table11" displayName="Table11" ref="A57:A59" totalsRowShown="0">
  <autoFilter ref="A57:A59"/>
  <tableColumns count="1">
    <tableColumn id="1" name="Solar tracking Adder"/>
  </tableColumns>
  <tableStyleInfo name="TableStyleLight1" showFirstColumn="0" showLastColumn="0" showRowStripes="1" showColumnStripes="0"/>
</table>
</file>

<file path=xl/tables/table9.xml><?xml version="1.0" encoding="utf-8"?>
<table xmlns="http://schemas.openxmlformats.org/spreadsheetml/2006/main" id="12" name="Table12" displayName="Table12" ref="A6:A8" totalsRowShown="0">
  <autoFilter ref="A6:A8"/>
  <tableColumns count="1">
    <tableColumn id="1" name="NationalGrid"/>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mass.gov/service-details/development-of-the-solar-massachusetts-renewable-target-smart-progra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mass.gov/service-details/basic-service-information-and-rates" TargetMode="External"/><Relationship Id="rId2" Type="http://schemas.openxmlformats.org/officeDocument/2006/relationships/hyperlink" Target="https://www.eversource.com/content/docs/default-source/rates-tariffs/wma-rates.pdf" TargetMode="External"/><Relationship Id="rId1" Type="http://schemas.openxmlformats.org/officeDocument/2006/relationships/hyperlink" Target="https://www.eversource.com/content/ema-c/residential/my-account/billing-payments/about-your-bill/rates-tariffs/summary-of-electric-rates"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hyperlink" Target="https://www.mass.gov/service-details/basic-service-information-and-rate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9.nationalgridus.com/masselectric/non_html/ResiTable.pdf" TargetMode="External"/><Relationship Id="rId2" Type="http://schemas.openxmlformats.org/officeDocument/2006/relationships/hyperlink" Target="https://www9.nationalgridus.com/non_html/0817NANT.pdf" TargetMode="External"/><Relationship Id="rId1" Type="http://schemas.openxmlformats.org/officeDocument/2006/relationships/hyperlink" Target="https://www9.nationalgridus.com/non_html/0817MECO.pdf" TargetMode="External"/><Relationship Id="rId6" Type="http://schemas.openxmlformats.org/officeDocument/2006/relationships/printerSettings" Target="../printerSettings/printerSettings5.bin"/><Relationship Id="rId5" Type="http://schemas.openxmlformats.org/officeDocument/2006/relationships/hyperlink" Target="https://www9.nationalgridus.com/masselectric/non_html/IndTable.pdf" TargetMode="External"/><Relationship Id="rId4" Type="http://schemas.openxmlformats.org/officeDocument/2006/relationships/hyperlink" Target="https://www9.nationalgridus.com/masselectric/non_html/CommTable.pdf"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tabSelected="1" zoomScaleNormal="100" workbookViewId="0"/>
  </sheetViews>
  <sheetFormatPr defaultRowHeight="15" x14ac:dyDescent="0.25"/>
  <cols>
    <col min="1" max="1" width="8.140625" style="144" customWidth="1"/>
    <col min="2" max="2" width="39.7109375" style="144" customWidth="1"/>
    <col min="3" max="3" width="28.7109375" style="144" customWidth="1"/>
    <col min="4" max="4" width="1.85546875" style="144" customWidth="1"/>
    <col min="5" max="5" width="17.7109375" style="144" customWidth="1"/>
    <col min="6" max="6" width="3" style="144" customWidth="1"/>
    <col min="7" max="7" width="33.28515625" style="144" customWidth="1"/>
    <col min="8" max="8" width="9" style="144" customWidth="1"/>
    <col min="9" max="16384" width="9.140625" style="144"/>
  </cols>
  <sheetData>
    <row r="1" spans="1:8" x14ac:dyDescent="0.25">
      <c r="A1" s="141"/>
      <c r="B1" s="142"/>
      <c r="C1" s="142"/>
      <c r="D1" s="142"/>
      <c r="E1" s="142"/>
      <c r="F1" s="142"/>
      <c r="G1" s="142"/>
      <c r="H1" s="143"/>
    </row>
    <row r="2" spans="1:8" ht="20.25" customHeight="1" x14ac:dyDescent="0.3">
      <c r="A2" s="145"/>
      <c r="B2" s="203" t="s">
        <v>213</v>
      </c>
      <c r="C2" s="203"/>
      <c r="D2" s="203"/>
      <c r="E2" s="203"/>
      <c r="F2" s="146"/>
      <c r="G2" s="146"/>
      <c r="H2" s="147"/>
    </row>
    <row r="3" spans="1:8" ht="20.25" customHeight="1" x14ac:dyDescent="0.3">
      <c r="A3" s="145"/>
      <c r="B3" s="204" t="s">
        <v>300</v>
      </c>
      <c r="C3" s="203"/>
      <c r="D3" s="203"/>
      <c r="E3" s="203"/>
      <c r="F3" s="146"/>
      <c r="G3" s="146"/>
      <c r="H3" s="147"/>
    </row>
    <row r="4" spans="1:8" ht="12.75" customHeight="1" x14ac:dyDescent="0.3">
      <c r="A4" s="148"/>
      <c r="B4" s="149"/>
      <c r="C4" s="149"/>
      <c r="D4" s="149"/>
      <c r="E4" s="149"/>
      <c r="F4" s="149"/>
      <c r="G4" s="149"/>
      <c r="H4" s="150"/>
    </row>
    <row r="5" spans="1:8" ht="30" x14ac:dyDescent="0.25">
      <c r="A5" s="148"/>
      <c r="B5" s="151" t="s">
        <v>192</v>
      </c>
      <c r="C5" s="152" t="s">
        <v>198</v>
      </c>
      <c r="D5" s="153"/>
      <c r="E5" s="151" t="s">
        <v>191</v>
      </c>
      <c r="F5" s="154"/>
      <c r="G5" s="199" t="s">
        <v>301</v>
      </c>
      <c r="H5" s="150"/>
    </row>
    <row r="6" spans="1:8" x14ac:dyDescent="0.25">
      <c r="A6" s="148"/>
      <c r="B6" s="155" t="s">
        <v>118</v>
      </c>
      <c r="C6" s="139" t="s">
        <v>206</v>
      </c>
      <c r="D6" s="156"/>
      <c r="E6" s="157" t="str">
        <f>C6</f>
        <v>NationalGrid</v>
      </c>
      <c r="F6" s="156"/>
      <c r="G6" s="200"/>
      <c r="H6" s="150"/>
    </row>
    <row r="7" spans="1:8" x14ac:dyDescent="0.25">
      <c r="A7" s="148"/>
      <c r="B7" s="155" t="s">
        <v>64</v>
      </c>
      <c r="C7" s="139" t="s">
        <v>174</v>
      </c>
      <c r="D7" s="156"/>
      <c r="E7" s="157" t="str">
        <f>IF(C7="GreaterBoston","EasternMass",IF(C7="Cambridge","EasternMass", IF(C7="SouthShoreCCVinyard","EasternMass", C7)))</f>
        <v>MassElectric</v>
      </c>
      <c r="F7" s="156"/>
      <c r="G7" s="200"/>
      <c r="H7" s="150"/>
    </row>
    <row r="8" spans="1:8" x14ac:dyDescent="0.25">
      <c r="A8" s="148"/>
      <c r="B8" s="155" t="s">
        <v>4</v>
      </c>
      <c r="C8" s="140" t="s">
        <v>8</v>
      </c>
      <c r="D8" s="158"/>
      <c r="E8" s="157" t="str">
        <f>SUBSTITUTE(C8," ","")</f>
        <v>R-2</v>
      </c>
      <c r="F8" s="156"/>
      <c r="G8" s="200"/>
      <c r="H8" s="150"/>
    </row>
    <row r="9" spans="1:8" x14ac:dyDescent="0.25">
      <c r="A9" s="148"/>
      <c r="B9" s="155" t="s">
        <v>156</v>
      </c>
      <c r="C9" s="139">
        <v>1</v>
      </c>
      <c r="D9" s="156"/>
      <c r="E9" s="157">
        <f>C9</f>
        <v>1</v>
      </c>
      <c r="F9" s="156"/>
      <c r="G9" s="200"/>
      <c r="H9" s="150"/>
    </row>
    <row r="10" spans="1:8" x14ac:dyDescent="0.25">
      <c r="A10" s="148"/>
      <c r="B10" s="155" t="s">
        <v>302</v>
      </c>
      <c r="C10" s="139" t="s">
        <v>158</v>
      </c>
      <c r="D10" s="156"/>
      <c r="E10" s="157" t="str">
        <f>C10</f>
        <v>≤25</v>
      </c>
      <c r="F10" s="156"/>
      <c r="G10" s="200"/>
      <c r="H10" s="150"/>
    </row>
    <row r="11" spans="1:8" x14ac:dyDescent="0.25">
      <c r="A11" s="148"/>
      <c r="B11" s="155" t="s">
        <v>153</v>
      </c>
      <c r="C11" s="139" t="s">
        <v>296</v>
      </c>
      <c r="D11" s="156"/>
      <c r="E11" s="159">
        <f>VLOOKUP(C11,Adders!$B$3:$J$9,2,FALSE)</f>
        <v>0</v>
      </c>
      <c r="F11" s="160"/>
      <c r="G11" s="200"/>
      <c r="H11" s="150"/>
    </row>
    <row r="12" spans="1:8" x14ac:dyDescent="0.25">
      <c r="A12" s="148"/>
      <c r="B12" s="155" t="s">
        <v>154</v>
      </c>
      <c r="C12" s="139" t="s">
        <v>296</v>
      </c>
      <c r="D12" s="156"/>
      <c r="E12" s="159">
        <f>VLOOKUP(C12,Adders!$B$10:$J$14,2,FALSE)</f>
        <v>0</v>
      </c>
      <c r="F12" s="160"/>
      <c r="G12" s="200"/>
      <c r="H12" s="150"/>
    </row>
    <row r="13" spans="1:8" x14ac:dyDescent="0.25">
      <c r="A13" s="148"/>
      <c r="B13" s="155" t="s">
        <v>123</v>
      </c>
      <c r="C13" s="139" t="s">
        <v>296</v>
      </c>
      <c r="D13" s="156"/>
      <c r="E13" s="159">
        <f>VLOOKUP(C13,Adders!$B$15:$J$16,2,FALSE)</f>
        <v>0</v>
      </c>
      <c r="F13" s="160"/>
      <c r="G13" s="200"/>
      <c r="H13" s="150"/>
    </row>
    <row r="14" spans="1:8" x14ac:dyDescent="0.25">
      <c r="A14" s="148"/>
      <c r="B14" s="155" t="s">
        <v>207</v>
      </c>
      <c r="C14" s="161" t="s">
        <v>210</v>
      </c>
      <c r="D14" s="156"/>
      <c r="E14" s="139"/>
      <c r="F14" s="162"/>
      <c r="G14" s="201"/>
      <c r="H14" s="150"/>
    </row>
    <row r="15" spans="1:8" ht="13.5" customHeight="1" x14ac:dyDescent="0.25">
      <c r="A15" s="148"/>
      <c r="B15" s="163" t="s">
        <v>74</v>
      </c>
      <c r="C15" s="164"/>
      <c r="D15" s="164"/>
      <c r="E15" s="164"/>
      <c r="F15" s="164"/>
      <c r="G15" s="164"/>
      <c r="H15" s="150"/>
    </row>
    <row r="16" spans="1:8" ht="11.25" customHeight="1" x14ac:dyDescent="0.25">
      <c r="A16" s="148"/>
      <c r="B16" s="165" t="s">
        <v>214</v>
      </c>
      <c r="C16" s="164"/>
      <c r="D16" s="164"/>
      <c r="E16" s="164"/>
      <c r="F16" s="164"/>
      <c r="G16" s="164"/>
      <c r="H16" s="150"/>
    </row>
    <row r="17" spans="1:8" s="169" customFormat="1" ht="9" customHeight="1" x14ac:dyDescent="0.2">
      <c r="A17" s="166"/>
      <c r="B17" s="167" t="s">
        <v>208</v>
      </c>
      <c r="C17" s="165"/>
      <c r="D17" s="165"/>
      <c r="E17" s="165"/>
      <c r="F17" s="165"/>
      <c r="G17" s="165"/>
      <c r="H17" s="168"/>
    </row>
    <row r="18" spans="1:8" x14ac:dyDescent="0.25">
      <c r="A18" s="148"/>
      <c r="B18" s="164"/>
      <c r="C18" s="164"/>
      <c r="D18" s="164"/>
      <c r="E18" s="164"/>
      <c r="F18" s="164"/>
      <c r="G18" s="164"/>
      <c r="H18" s="150"/>
    </row>
    <row r="19" spans="1:8" ht="21.75" customHeight="1" x14ac:dyDescent="0.25">
      <c r="A19" s="148"/>
      <c r="B19" s="202" t="s">
        <v>193</v>
      </c>
      <c r="C19" s="202"/>
      <c r="D19" s="170"/>
      <c r="E19" s="164"/>
      <c r="F19" s="164"/>
      <c r="G19" s="164"/>
      <c r="H19" s="150"/>
    </row>
    <row r="20" spans="1:8" x14ac:dyDescent="0.25">
      <c r="A20" s="148"/>
      <c r="B20" s="171" t="s">
        <v>197</v>
      </c>
      <c r="C20" s="159">
        <f t="array" ref="C20">INDEX('Base rates'!C2:J31,MATCH(E7&amp;E10,'Base rates'!A2:A31&amp;'Base rates'!B2:B31,0),MATCH(E9,'Base rates'!C1:J1,0))</f>
        <v>0.31125999999999998</v>
      </c>
      <c r="D20" s="156"/>
      <c r="E20" s="164"/>
      <c r="F20" s="164"/>
      <c r="G20" s="164"/>
      <c r="H20" s="150"/>
    </row>
    <row r="21" spans="1:8" x14ac:dyDescent="0.25">
      <c r="A21" s="148"/>
      <c r="B21" s="171" t="s">
        <v>196</v>
      </c>
      <c r="C21" s="159">
        <f>E11+E12+E13+E14</f>
        <v>0</v>
      </c>
      <c r="D21" s="156"/>
      <c r="E21" s="164"/>
      <c r="F21" s="164"/>
      <c r="G21" s="164"/>
      <c r="H21" s="150"/>
    </row>
    <row r="22" spans="1:8" x14ac:dyDescent="0.25">
      <c r="A22" s="148"/>
      <c r="B22" s="171" t="s">
        <v>195</v>
      </c>
      <c r="C22" s="159">
        <f>C20+C21</f>
        <v>0.31125999999999998</v>
      </c>
      <c r="D22" s="156"/>
      <c r="E22" s="164"/>
      <c r="F22" s="164"/>
      <c r="G22" s="164"/>
      <c r="H22" s="150"/>
    </row>
    <row r="23" spans="1:8" x14ac:dyDescent="0.25">
      <c r="A23" s="148"/>
      <c r="B23" s="171" t="s">
        <v>194</v>
      </c>
      <c r="C23" s="159">
        <f>VLOOKUP(C7&amp;E8,VOE!$B$2:$I$68,8,FALSE)</f>
        <v>0.19905</v>
      </c>
      <c r="D23" s="156"/>
      <c r="E23" s="164"/>
      <c r="F23" s="164"/>
      <c r="G23" s="164"/>
      <c r="H23" s="150"/>
    </row>
    <row r="24" spans="1:8" x14ac:dyDescent="0.25">
      <c r="A24" s="148"/>
      <c r="B24" s="164"/>
      <c r="C24" s="156"/>
      <c r="D24" s="156"/>
      <c r="E24" s="164"/>
      <c r="F24" s="164"/>
      <c r="G24" s="164"/>
      <c r="H24" s="150"/>
    </row>
    <row r="25" spans="1:8" ht="21" customHeight="1" x14ac:dyDescent="0.25">
      <c r="A25" s="148"/>
      <c r="B25" s="202" t="s">
        <v>209</v>
      </c>
      <c r="C25" s="202"/>
      <c r="D25" s="170"/>
      <c r="E25" s="164"/>
      <c r="F25" s="164"/>
      <c r="G25" s="164"/>
      <c r="H25" s="150"/>
    </row>
    <row r="26" spans="1:8" x14ac:dyDescent="0.25">
      <c r="A26" s="148"/>
      <c r="B26" s="171" t="s">
        <v>211</v>
      </c>
      <c r="C26" s="159">
        <f>C22-C23</f>
        <v>0.11220999999999998</v>
      </c>
      <c r="D26" s="156"/>
      <c r="E26" s="164"/>
      <c r="F26" s="164"/>
      <c r="G26" s="164"/>
      <c r="H26" s="150"/>
    </row>
    <row r="27" spans="1:8" x14ac:dyDescent="0.25">
      <c r="A27" s="148"/>
      <c r="B27" s="171" t="s">
        <v>155</v>
      </c>
      <c r="C27" s="157">
        <f>IF(E10="≤25",10, IF(E10="LowIncome≤25",10,20))</f>
        <v>10</v>
      </c>
      <c r="D27" s="156"/>
      <c r="E27" s="164"/>
      <c r="F27" s="164"/>
      <c r="G27" s="164"/>
      <c r="H27" s="150"/>
    </row>
    <row r="28" spans="1:8" x14ac:dyDescent="0.25">
      <c r="A28" s="148"/>
      <c r="B28" s="164"/>
      <c r="C28" s="164"/>
      <c r="D28" s="164"/>
      <c r="E28" s="164"/>
      <c r="F28" s="164"/>
      <c r="G28" s="164"/>
      <c r="H28" s="150"/>
    </row>
    <row r="29" spans="1:8" ht="15" customHeight="1" x14ac:dyDescent="0.25">
      <c r="A29" s="148"/>
      <c r="B29" s="205" t="s">
        <v>212</v>
      </c>
      <c r="C29" s="205"/>
      <c r="D29" s="205"/>
      <c r="E29" s="205"/>
      <c r="F29" s="205"/>
      <c r="G29" s="205"/>
      <c r="H29" s="150"/>
    </row>
    <row r="30" spans="1:8" x14ac:dyDescent="0.25">
      <c r="A30" s="148"/>
      <c r="B30" s="205"/>
      <c r="C30" s="205"/>
      <c r="D30" s="205"/>
      <c r="E30" s="205"/>
      <c r="F30" s="205"/>
      <c r="G30" s="205"/>
      <c r="H30" s="150"/>
    </row>
    <row r="31" spans="1:8" x14ac:dyDescent="0.25">
      <c r="A31" s="148"/>
      <c r="B31" s="205"/>
      <c r="C31" s="205"/>
      <c r="D31" s="205"/>
      <c r="E31" s="205"/>
      <c r="F31" s="205"/>
      <c r="G31" s="205"/>
      <c r="H31" s="150"/>
    </row>
    <row r="32" spans="1:8" x14ac:dyDescent="0.25">
      <c r="A32" s="148"/>
      <c r="B32" s="205"/>
      <c r="C32" s="205"/>
      <c r="D32" s="205"/>
      <c r="E32" s="205"/>
      <c r="F32" s="205"/>
      <c r="G32" s="205"/>
      <c r="H32" s="150"/>
    </row>
    <row r="33" spans="1:8" x14ac:dyDescent="0.25">
      <c r="A33" s="148"/>
      <c r="B33" s="205"/>
      <c r="C33" s="205"/>
      <c r="D33" s="205"/>
      <c r="E33" s="205"/>
      <c r="F33" s="205"/>
      <c r="G33" s="205"/>
      <c r="H33" s="150"/>
    </row>
    <row r="34" spans="1:8" x14ac:dyDescent="0.25">
      <c r="A34" s="148"/>
      <c r="B34" s="205"/>
      <c r="C34" s="205"/>
      <c r="D34" s="205"/>
      <c r="E34" s="205"/>
      <c r="F34" s="205"/>
      <c r="G34" s="205"/>
      <c r="H34" s="150"/>
    </row>
    <row r="35" spans="1:8" x14ac:dyDescent="0.25">
      <c r="A35" s="148"/>
      <c r="B35" s="205"/>
      <c r="C35" s="205"/>
      <c r="D35" s="205"/>
      <c r="E35" s="205"/>
      <c r="F35" s="205"/>
      <c r="G35" s="205"/>
      <c r="H35" s="150"/>
    </row>
    <row r="36" spans="1:8" x14ac:dyDescent="0.25">
      <c r="A36" s="148"/>
      <c r="B36" s="205"/>
      <c r="C36" s="205"/>
      <c r="D36" s="205"/>
      <c r="E36" s="205"/>
      <c r="F36" s="205"/>
      <c r="G36" s="205"/>
      <c r="H36" s="150"/>
    </row>
    <row r="37" spans="1:8" x14ac:dyDescent="0.25">
      <c r="A37" s="148"/>
      <c r="B37" s="205"/>
      <c r="C37" s="205"/>
      <c r="D37" s="205"/>
      <c r="E37" s="205"/>
      <c r="F37" s="205"/>
      <c r="G37" s="205"/>
      <c r="H37" s="150"/>
    </row>
    <row r="38" spans="1:8" ht="15.75" thickBot="1" x14ac:dyDescent="0.3">
      <c r="A38" s="172"/>
      <c r="B38" s="206"/>
      <c r="C38" s="206"/>
      <c r="D38" s="206"/>
      <c r="E38" s="206"/>
      <c r="F38" s="206"/>
      <c r="G38" s="206"/>
      <c r="H38" s="173"/>
    </row>
  </sheetData>
  <sheetProtection password="C274" sheet="1" objects="1" scenarios="1"/>
  <mergeCells count="6">
    <mergeCell ref="B29:G38"/>
    <mergeCell ref="G5:G14"/>
    <mergeCell ref="B19:C19"/>
    <mergeCell ref="B25:C25"/>
    <mergeCell ref="B2:E2"/>
    <mergeCell ref="B3:E3"/>
  </mergeCells>
  <dataValidations count="7">
    <dataValidation type="list" allowBlank="1" showInputMessage="1" showErrorMessage="1" sqref="C6">
      <formula1>EDC</formula1>
    </dataValidation>
    <dataValidation type="list" allowBlank="1" showInputMessage="1" showErrorMessage="1" sqref="C7:C8">
      <formula1>INDIRECT(C6)</formula1>
    </dataValidation>
    <dataValidation type="list" allowBlank="1" showInputMessage="1" showErrorMessage="1" sqref="C9">
      <formula1>INDIRECT(C6&amp;C7)</formula1>
    </dataValidation>
    <dataValidation type="list" allowBlank="1" showInputMessage="1" showErrorMessage="1" sqref="C10">
      <formula1>IF(ISNUMBER(SEARCH("R-4",C8)),Low,IF(ISNUMBER(SEARCH("R-2",C8)),Low, IF(ISNUMBER(SEARCH("RD-2",C8)),Low,NotLow)))</formula1>
    </dataValidation>
    <dataValidation type="list" allowBlank="1" showInputMessage="1" showErrorMessage="1" sqref="C11">
      <formula1>OFFSET(SizeStart,MATCH(C10,SizeColumn,0)-1,1,SUMPRODUCT((SizeColumn=C10)+0),1)</formula1>
    </dataValidation>
    <dataValidation type="list" allowBlank="1" showInputMessage="1" showErrorMessage="1" sqref="C12">
      <formula1>OFFSET(Size2Start,MATCH(C10,Size2Column,0)-1,1,SUMPRODUCT((Size2Column=C10)+0),1)</formula1>
    </dataValidation>
    <dataValidation type="list" allowBlank="1" showInputMessage="1" showErrorMessage="1" sqref="C13">
      <formula1>OFFSET(Size3Start,MATCH(C10,Size3Column,0)-1,1,SUMPRODUCT((Size3Column=C10)+0),1)</formula1>
    </dataValidation>
  </dataValidations>
  <hyperlinks>
    <hyperlink ref="B17" r:id="rId1"/>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A6" sqref="A6"/>
    </sheetView>
  </sheetViews>
  <sheetFormatPr defaultRowHeight="15" x14ac:dyDescent="0.25"/>
  <cols>
    <col min="1" max="1" width="27.7109375" customWidth="1"/>
    <col min="2" max="2" width="40.5703125" customWidth="1"/>
  </cols>
  <sheetData>
    <row r="1" spans="1:10" x14ac:dyDescent="0.25">
      <c r="A1" s="18" t="s">
        <v>118</v>
      </c>
      <c r="B1" s="18" t="s">
        <v>117</v>
      </c>
      <c r="C1" s="18">
        <v>1</v>
      </c>
      <c r="D1" s="18">
        <v>2</v>
      </c>
      <c r="E1" s="18">
        <v>3</v>
      </c>
      <c r="F1" s="18">
        <v>4</v>
      </c>
      <c r="G1" s="18">
        <v>5</v>
      </c>
      <c r="H1" s="18">
        <v>6</v>
      </c>
      <c r="I1" s="18">
        <v>7</v>
      </c>
      <c r="J1" s="18">
        <v>8</v>
      </c>
    </row>
    <row r="2" spans="1:10" x14ac:dyDescent="0.25">
      <c r="A2" t="s">
        <v>176</v>
      </c>
      <c r="B2" t="s">
        <v>159</v>
      </c>
      <c r="C2">
        <v>0.35794899999999996</v>
      </c>
      <c r="D2">
        <v>0.32644948799999995</v>
      </c>
      <c r="E2">
        <v>0.29772193305599998</v>
      </c>
      <c r="F2">
        <v>0.27152240294707197</v>
      </c>
      <c r="G2">
        <v>0</v>
      </c>
      <c r="H2">
        <v>0</v>
      </c>
      <c r="I2">
        <v>0</v>
      </c>
      <c r="J2">
        <v>0</v>
      </c>
    </row>
    <row r="3" spans="1:10" x14ac:dyDescent="0.25">
      <c r="A3" t="s">
        <v>176</v>
      </c>
      <c r="B3" t="s">
        <v>158</v>
      </c>
      <c r="C3">
        <v>0.31125999999999998</v>
      </c>
      <c r="D3">
        <v>0.28386911999999997</v>
      </c>
      <c r="E3">
        <v>0.25888863744000001</v>
      </c>
      <c r="F3">
        <v>0.23610643734528003</v>
      </c>
      <c r="G3">
        <v>0</v>
      </c>
      <c r="H3">
        <v>0</v>
      </c>
      <c r="I3">
        <v>0</v>
      </c>
      <c r="J3">
        <v>0</v>
      </c>
    </row>
    <row r="4" spans="1:10" x14ac:dyDescent="0.25">
      <c r="A4" t="s">
        <v>176</v>
      </c>
      <c r="B4" t="s">
        <v>160</v>
      </c>
      <c r="C4">
        <v>0.23344499999999999</v>
      </c>
      <c r="D4">
        <v>0.21290183999999998</v>
      </c>
      <c r="E4">
        <v>0.19416647807999998</v>
      </c>
      <c r="F4">
        <v>0.17707982800895999</v>
      </c>
      <c r="G4">
        <v>0</v>
      </c>
      <c r="H4">
        <v>0</v>
      </c>
      <c r="I4">
        <v>0</v>
      </c>
      <c r="J4">
        <v>0</v>
      </c>
    </row>
    <row r="5" spans="1:10" x14ac:dyDescent="0.25">
      <c r="A5" t="s">
        <v>176</v>
      </c>
      <c r="B5" t="s">
        <v>161</v>
      </c>
      <c r="C5">
        <v>0.19453749999999997</v>
      </c>
      <c r="D5">
        <v>0.17741819999999997</v>
      </c>
      <c r="E5">
        <v>0.16180539839999997</v>
      </c>
      <c r="F5">
        <v>0.14756652334079998</v>
      </c>
      <c r="G5">
        <v>0</v>
      </c>
      <c r="H5">
        <v>0</v>
      </c>
      <c r="I5">
        <v>0</v>
      </c>
      <c r="J5">
        <v>0</v>
      </c>
    </row>
    <row r="6" spans="1:10" x14ac:dyDescent="0.25">
      <c r="A6" t="s">
        <v>176</v>
      </c>
      <c r="B6" t="s">
        <v>162</v>
      </c>
      <c r="C6">
        <v>0.17119300000000001</v>
      </c>
      <c r="D6">
        <v>0.15612801600000001</v>
      </c>
      <c r="E6">
        <v>0.14238875059200001</v>
      </c>
      <c r="F6">
        <v>0.129858540539904</v>
      </c>
      <c r="G6">
        <v>0</v>
      </c>
      <c r="H6">
        <v>0</v>
      </c>
      <c r="I6">
        <v>0</v>
      </c>
      <c r="J6">
        <v>0</v>
      </c>
    </row>
    <row r="7" spans="1:10" x14ac:dyDescent="0.25">
      <c r="A7" t="s">
        <v>176</v>
      </c>
      <c r="B7" t="s">
        <v>183</v>
      </c>
      <c r="C7">
        <v>0.15562999999999999</v>
      </c>
      <c r="D7">
        <v>0.14193455999999999</v>
      </c>
      <c r="E7">
        <v>0.12944431872000001</v>
      </c>
      <c r="F7">
        <v>0.11805321867264001</v>
      </c>
      <c r="G7">
        <v>0</v>
      </c>
      <c r="H7">
        <v>0</v>
      </c>
      <c r="I7">
        <v>0</v>
      </c>
      <c r="J7">
        <v>0</v>
      </c>
    </row>
    <row r="8" spans="1:10" x14ac:dyDescent="0.25">
      <c r="A8" t="s">
        <v>174</v>
      </c>
      <c r="B8" t="s">
        <v>159</v>
      </c>
      <c r="C8">
        <v>0.35794899999999996</v>
      </c>
      <c r="D8">
        <v>0.34363103999999994</v>
      </c>
      <c r="E8">
        <v>0.32988579839999993</v>
      </c>
      <c r="F8">
        <v>0.31669036646399989</v>
      </c>
      <c r="G8">
        <v>0.30402275180543986</v>
      </c>
      <c r="H8">
        <v>0.29186184173322227</v>
      </c>
      <c r="I8">
        <v>0.28018736806389338</v>
      </c>
      <c r="J8">
        <v>0.26897987334133766</v>
      </c>
    </row>
    <row r="9" spans="1:10" x14ac:dyDescent="0.25">
      <c r="A9" t="s">
        <v>174</v>
      </c>
      <c r="B9" t="s">
        <v>158</v>
      </c>
      <c r="C9">
        <v>0.31125999999999998</v>
      </c>
      <c r="D9">
        <v>0.29880959999999995</v>
      </c>
      <c r="E9">
        <v>0.28685721599999997</v>
      </c>
      <c r="F9">
        <v>0.27538292735999997</v>
      </c>
      <c r="G9">
        <v>0.26436761026559996</v>
      </c>
      <c r="H9">
        <v>0.25379290585497594</v>
      </c>
      <c r="I9">
        <v>0.24364118962077688</v>
      </c>
      <c r="J9">
        <v>0.23389554203594579</v>
      </c>
    </row>
    <row r="10" spans="1:10" x14ac:dyDescent="0.25">
      <c r="A10" t="s">
        <v>174</v>
      </c>
      <c r="B10" t="s">
        <v>160</v>
      </c>
      <c r="C10">
        <v>0.23344499999999999</v>
      </c>
      <c r="D10">
        <v>0.22410719999999998</v>
      </c>
      <c r="E10">
        <v>0.21514291199999996</v>
      </c>
      <c r="F10">
        <v>0.20653719551999997</v>
      </c>
      <c r="G10">
        <v>0.19827570769919997</v>
      </c>
      <c r="H10">
        <v>0.19034467939123195</v>
      </c>
      <c r="I10">
        <v>0.18273089221558267</v>
      </c>
      <c r="J10">
        <v>0.17542165652695935</v>
      </c>
    </row>
    <row r="11" spans="1:10" x14ac:dyDescent="0.25">
      <c r="A11" t="s">
        <v>174</v>
      </c>
      <c r="B11" t="s">
        <v>161</v>
      </c>
      <c r="C11">
        <v>0.19453749999999997</v>
      </c>
      <c r="D11">
        <v>0.18675599999999998</v>
      </c>
      <c r="E11">
        <v>0.17928575999999996</v>
      </c>
      <c r="F11">
        <v>0.17211432959999995</v>
      </c>
      <c r="G11">
        <v>0.16522975641599993</v>
      </c>
      <c r="H11">
        <v>0.15862056615935993</v>
      </c>
      <c r="I11">
        <v>0.15227574351298553</v>
      </c>
      <c r="J11">
        <v>0.14618471377246611</v>
      </c>
    </row>
    <row r="12" spans="1:10" x14ac:dyDescent="0.25">
      <c r="A12" t="s">
        <v>174</v>
      </c>
      <c r="B12" t="s">
        <v>162</v>
      </c>
      <c r="C12">
        <v>0.17119300000000001</v>
      </c>
      <c r="D12">
        <v>0.16434528000000001</v>
      </c>
      <c r="E12">
        <v>0.15777146880000001</v>
      </c>
      <c r="F12">
        <v>0.15146061004800002</v>
      </c>
      <c r="G12">
        <v>0.14540218564608001</v>
      </c>
      <c r="H12">
        <v>0.13958609822023679</v>
      </c>
      <c r="I12">
        <v>0.13400265429142733</v>
      </c>
      <c r="J12">
        <v>0.12864254811977022</v>
      </c>
    </row>
    <row r="13" spans="1:10" x14ac:dyDescent="0.25">
      <c r="A13" t="s">
        <v>174</v>
      </c>
      <c r="B13" t="s">
        <v>183</v>
      </c>
      <c r="C13">
        <v>0.15562999999999999</v>
      </c>
      <c r="D13">
        <v>0.14940479999999998</v>
      </c>
      <c r="E13">
        <v>0.14342860799999999</v>
      </c>
      <c r="F13">
        <v>0.13769146367999999</v>
      </c>
      <c r="G13">
        <v>0.13218380513279998</v>
      </c>
      <c r="H13">
        <v>0.12689645292748797</v>
      </c>
      <c r="I13">
        <v>0.12182059481038844</v>
      </c>
      <c r="J13">
        <v>0.11694777101797289</v>
      </c>
    </row>
    <row r="14" spans="1:10" x14ac:dyDescent="0.25">
      <c r="A14" t="s">
        <v>175</v>
      </c>
      <c r="B14" t="s">
        <v>159</v>
      </c>
      <c r="C14">
        <v>0.39100000000000001</v>
      </c>
      <c r="D14">
        <v>0.32844000000000001</v>
      </c>
      <c r="E14">
        <v>0</v>
      </c>
      <c r="F14">
        <v>0</v>
      </c>
      <c r="G14">
        <v>0</v>
      </c>
      <c r="H14">
        <v>0</v>
      </c>
      <c r="I14">
        <v>0</v>
      </c>
      <c r="J14">
        <v>0</v>
      </c>
    </row>
    <row r="15" spans="1:10" x14ac:dyDescent="0.25">
      <c r="A15" t="s">
        <v>175</v>
      </c>
      <c r="B15" t="s">
        <v>158</v>
      </c>
      <c r="C15">
        <v>0.34</v>
      </c>
      <c r="D15">
        <v>0.28560000000000002</v>
      </c>
      <c r="E15">
        <v>0</v>
      </c>
      <c r="F15">
        <v>0</v>
      </c>
      <c r="G15">
        <v>0</v>
      </c>
      <c r="H15">
        <v>0</v>
      </c>
      <c r="I15">
        <v>0</v>
      </c>
      <c r="J15">
        <v>0</v>
      </c>
    </row>
    <row r="16" spans="1:10" x14ac:dyDescent="0.25">
      <c r="A16" t="s">
        <v>175</v>
      </c>
      <c r="B16" t="s">
        <v>160</v>
      </c>
      <c r="C16">
        <v>0.255</v>
      </c>
      <c r="D16">
        <v>0.2142</v>
      </c>
      <c r="E16">
        <v>0</v>
      </c>
      <c r="F16">
        <v>0</v>
      </c>
      <c r="G16">
        <v>0</v>
      </c>
      <c r="H16">
        <v>0</v>
      </c>
      <c r="I16">
        <v>0</v>
      </c>
      <c r="J16">
        <v>0</v>
      </c>
    </row>
    <row r="17" spans="1:10" x14ac:dyDescent="0.25">
      <c r="A17" t="s">
        <v>175</v>
      </c>
      <c r="B17" t="s">
        <v>161</v>
      </c>
      <c r="C17">
        <v>0.21250000000000002</v>
      </c>
      <c r="D17">
        <v>0.17850000000000002</v>
      </c>
      <c r="E17">
        <v>0</v>
      </c>
      <c r="F17">
        <v>0</v>
      </c>
      <c r="G17">
        <v>0</v>
      </c>
      <c r="H17">
        <v>0</v>
      </c>
      <c r="I17">
        <v>0</v>
      </c>
      <c r="J17">
        <v>0</v>
      </c>
    </row>
    <row r="18" spans="1:10" x14ac:dyDescent="0.25">
      <c r="A18" t="s">
        <v>175</v>
      </c>
      <c r="B18" t="s">
        <v>162</v>
      </c>
      <c r="C18">
        <v>0.18700000000000003</v>
      </c>
      <c r="D18">
        <v>0.15708000000000003</v>
      </c>
      <c r="E18">
        <v>0</v>
      </c>
      <c r="F18">
        <v>0</v>
      </c>
      <c r="G18">
        <v>0</v>
      </c>
      <c r="H18">
        <v>0</v>
      </c>
      <c r="I18">
        <v>0</v>
      </c>
      <c r="J18">
        <v>0</v>
      </c>
    </row>
    <row r="19" spans="1:10" x14ac:dyDescent="0.25">
      <c r="A19" t="s">
        <v>175</v>
      </c>
      <c r="B19" t="s">
        <v>183</v>
      </c>
      <c r="C19">
        <v>0.17</v>
      </c>
      <c r="D19">
        <v>0.14280000000000001</v>
      </c>
      <c r="E19">
        <v>0</v>
      </c>
      <c r="F19">
        <v>0</v>
      </c>
      <c r="G19">
        <v>0</v>
      </c>
      <c r="H19">
        <v>0</v>
      </c>
      <c r="I19">
        <v>0</v>
      </c>
      <c r="J19">
        <v>0</v>
      </c>
    </row>
    <row r="20" spans="1:10" x14ac:dyDescent="0.25">
      <c r="A20" t="s">
        <v>181</v>
      </c>
      <c r="B20" t="s">
        <v>159</v>
      </c>
      <c r="C20">
        <v>0.39100000000000001</v>
      </c>
      <c r="D20">
        <v>0.37536000000000003</v>
      </c>
      <c r="E20">
        <v>0.36034559999999999</v>
      </c>
      <c r="F20">
        <v>0.34593177599999997</v>
      </c>
      <c r="G20">
        <v>0.33209450495999998</v>
      </c>
      <c r="H20">
        <v>0.3188107247616</v>
      </c>
      <c r="I20">
        <v>0.30605829577113597</v>
      </c>
      <c r="J20">
        <v>0.29381596394029053</v>
      </c>
    </row>
    <row r="21" spans="1:10" x14ac:dyDescent="0.25">
      <c r="A21" t="s">
        <v>181</v>
      </c>
      <c r="B21" t="s">
        <v>158</v>
      </c>
      <c r="C21">
        <v>0.34</v>
      </c>
      <c r="D21">
        <v>0.32640000000000002</v>
      </c>
      <c r="E21">
        <v>0.31334400000000001</v>
      </c>
      <c r="F21">
        <v>0.30081024000000001</v>
      </c>
      <c r="G21">
        <v>0.28877783039999999</v>
      </c>
      <c r="H21">
        <v>0.27722671718399999</v>
      </c>
      <c r="I21">
        <v>0.26613764849664001</v>
      </c>
      <c r="J21">
        <v>0.25549214255677438</v>
      </c>
    </row>
    <row r="22" spans="1:10" x14ac:dyDescent="0.25">
      <c r="A22" t="s">
        <v>181</v>
      </c>
      <c r="B22" t="s">
        <v>160</v>
      </c>
      <c r="C22">
        <v>0.255</v>
      </c>
      <c r="D22">
        <v>0.24479999999999999</v>
      </c>
      <c r="E22">
        <v>0.23500799999999999</v>
      </c>
      <c r="F22">
        <v>0.22560767999999998</v>
      </c>
      <c r="G22">
        <v>0.21658337279999998</v>
      </c>
      <c r="H22">
        <v>0.20792003788799998</v>
      </c>
      <c r="I22">
        <v>0.19960323637247998</v>
      </c>
      <c r="J22">
        <v>0.19161910691758077</v>
      </c>
    </row>
    <row r="23" spans="1:10" x14ac:dyDescent="0.25">
      <c r="A23" t="s">
        <v>181</v>
      </c>
      <c r="B23" t="s">
        <v>161</v>
      </c>
      <c r="C23">
        <v>0.21250000000000002</v>
      </c>
      <c r="D23">
        <v>0.20400000000000001</v>
      </c>
      <c r="E23">
        <v>0.19584000000000001</v>
      </c>
      <c r="F23">
        <v>0.18800640000000002</v>
      </c>
      <c r="G23">
        <v>0.18048614400000002</v>
      </c>
      <c r="H23">
        <v>0.17326669824000002</v>
      </c>
      <c r="I23">
        <v>0.16633603031040001</v>
      </c>
      <c r="J23">
        <v>0.159682589097984</v>
      </c>
    </row>
    <row r="24" spans="1:10" x14ac:dyDescent="0.25">
      <c r="A24" t="s">
        <v>181</v>
      </c>
      <c r="B24" t="s">
        <v>162</v>
      </c>
      <c r="C24">
        <v>0.18700000000000003</v>
      </c>
      <c r="D24">
        <v>0.17952000000000001</v>
      </c>
      <c r="E24">
        <v>0.1723392</v>
      </c>
      <c r="F24">
        <v>0.16544563199999998</v>
      </c>
      <c r="G24">
        <v>0.15882780671999996</v>
      </c>
      <c r="H24">
        <v>0.15247469445119996</v>
      </c>
      <c r="I24">
        <v>0.14637570667315195</v>
      </c>
      <c r="J24">
        <v>0.14052067840622587</v>
      </c>
    </row>
    <row r="25" spans="1:10" x14ac:dyDescent="0.25">
      <c r="A25" t="s">
        <v>181</v>
      </c>
      <c r="B25" t="s">
        <v>183</v>
      </c>
      <c r="C25">
        <v>0.17</v>
      </c>
      <c r="D25">
        <v>0.16320000000000001</v>
      </c>
      <c r="E25">
        <v>0.15667200000000001</v>
      </c>
      <c r="F25">
        <v>0.15040512</v>
      </c>
      <c r="G25">
        <v>0.1443889152</v>
      </c>
      <c r="H25">
        <v>0.138613358592</v>
      </c>
      <c r="I25">
        <v>0.13306882424832001</v>
      </c>
      <c r="J25">
        <v>0.12774607127838719</v>
      </c>
    </row>
    <row r="26" spans="1:10" x14ac:dyDescent="0.25">
      <c r="A26" t="s">
        <v>179</v>
      </c>
      <c r="B26" t="s">
        <v>159</v>
      </c>
      <c r="C26">
        <v>0.32862399999999997</v>
      </c>
      <c r="D26">
        <v>0.31547903999999999</v>
      </c>
      <c r="E26">
        <v>0.3028598784</v>
      </c>
      <c r="F26">
        <v>0.29074548326400002</v>
      </c>
      <c r="G26">
        <v>0.27911566393344001</v>
      </c>
      <c r="H26">
        <v>0.26795103737610237</v>
      </c>
      <c r="I26">
        <v>0.25723299588105825</v>
      </c>
      <c r="J26">
        <v>0.24694367604581591</v>
      </c>
    </row>
    <row r="27" spans="1:10" x14ac:dyDescent="0.25">
      <c r="A27" t="s">
        <v>179</v>
      </c>
      <c r="B27" t="s">
        <v>158</v>
      </c>
      <c r="C27">
        <v>0.28576000000000001</v>
      </c>
      <c r="D27">
        <v>0.27432960000000001</v>
      </c>
      <c r="E27">
        <v>0.26335641599999998</v>
      </c>
      <c r="F27">
        <v>0.25282215935999997</v>
      </c>
      <c r="G27">
        <v>0.24270927298559997</v>
      </c>
      <c r="H27">
        <v>0.23300090206617596</v>
      </c>
      <c r="I27">
        <v>0.2236808659835289</v>
      </c>
      <c r="J27">
        <v>0.21473363134418774</v>
      </c>
    </row>
    <row r="28" spans="1:10" x14ac:dyDescent="0.25">
      <c r="A28" t="s">
        <v>179</v>
      </c>
      <c r="B28" t="s">
        <v>160</v>
      </c>
      <c r="C28">
        <v>0.21432000000000001</v>
      </c>
      <c r="D28">
        <v>0.20574719999999999</v>
      </c>
      <c r="E28">
        <v>0.19751731199999997</v>
      </c>
      <c r="F28">
        <v>0.18961661951999997</v>
      </c>
      <c r="G28">
        <v>0.18203195473919997</v>
      </c>
      <c r="H28">
        <v>0.17475067654963197</v>
      </c>
      <c r="I28">
        <v>0.16776064948764668</v>
      </c>
      <c r="J28">
        <v>0.1610502235081408</v>
      </c>
    </row>
    <row r="29" spans="1:10" x14ac:dyDescent="0.25">
      <c r="A29" t="s">
        <v>179</v>
      </c>
      <c r="B29" t="s">
        <v>161</v>
      </c>
      <c r="C29">
        <v>0.17860000000000001</v>
      </c>
      <c r="D29">
        <v>0.171456</v>
      </c>
      <c r="E29">
        <v>0.16459775999999998</v>
      </c>
      <c r="F29">
        <v>0.15801384959999998</v>
      </c>
      <c r="G29">
        <v>0.15169329561599998</v>
      </c>
      <c r="H29">
        <v>0.14562556379135996</v>
      </c>
      <c r="I29">
        <v>0.13980054123970556</v>
      </c>
      <c r="J29">
        <v>0.13420851959011734</v>
      </c>
    </row>
    <row r="30" spans="1:10" x14ac:dyDescent="0.25">
      <c r="A30" t="s">
        <v>179</v>
      </c>
      <c r="B30" t="s">
        <v>162</v>
      </c>
      <c r="C30">
        <v>0.15716800000000003</v>
      </c>
      <c r="D30">
        <v>0.15088128000000003</v>
      </c>
      <c r="E30">
        <v>0.14484602880000003</v>
      </c>
      <c r="F30">
        <v>0.13905218764800001</v>
      </c>
      <c r="G30">
        <v>0.13349010014208001</v>
      </c>
      <c r="H30">
        <v>0.12815049613639681</v>
      </c>
      <c r="I30">
        <v>0.12302447629094093</v>
      </c>
      <c r="J30">
        <v>0.11810349723930329</v>
      </c>
    </row>
    <row r="31" spans="1:10" x14ac:dyDescent="0.25">
      <c r="A31" t="s">
        <v>179</v>
      </c>
      <c r="B31" t="s">
        <v>183</v>
      </c>
      <c r="C31">
        <v>0.14288000000000001</v>
      </c>
      <c r="D31">
        <v>0.1371648</v>
      </c>
      <c r="E31">
        <v>0.13167820799999999</v>
      </c>
      <c r="F31">
        <v>0.12641107967999998</v>
      </c>
      <c r="G31">
        <v>0.12135463649279998</v>
      </c>
      <c r="H31">
        <v>0.11650045103308798</v>
      </c>
      <c r="I31">
        <v>0.11184043299176445</v>
      </c>
      <c r="J31">
        <v>0.10736681567209387</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B17" sqref="B17"/>
    </sheetView>
  </sheetViews>
  <sheetFormatPr defaultRowHeight="15" x14ac:dyDescent="0.25"/>
  <cols>
    <col min="1" max="1" width="18.140625" customWidth="1"/>
    <col min="2" max="2" width="27.85546875" customWidth="1"/>
  </cols>
  <sheetData>
    <row r="1" spans="1:10" x14ac:dyDescent="0.25">
      <c r="A1" t="s">
        <v>184</v>
      </c>
      <c r="B1" t="s">
        <v>149</v>
      </c>
      <c r="C1" t="s">
        <v>185</v>
      </c>
    </row>
    <row r="2" spans="1:10" x14ac:dyDescent="0.25">
      <c r="C2" s="18">
        <v>1</v>
      </c>
      <c r="D2" s="18">
        <v>2</v>
      </c>
      <c r="E2" s="18">
        <v>3</v>
      </c>
      <c r="F2" s="18">
        <v>4</v>
      </c>
      <c r="G2" s="18">
        <v>5</v>
      </c>
      <c r="H2" s="18">
        <v>6</v>
      </c>
      <c r="I2" s="18">
        <v>7</v>
      </c>
      <c r="J2" s="18">
        <v>8</v>
      </c>
    </row>
    <row r="3" spans="1:10" x14ac:dyDescent="0.25">
      <c r="A3" t="s">
        <v>139</v>
      </c>
      <c r="B3" t="s">
        <v>163</v>
      </c>
      <c r="C3">
        <v>0.02</v>
      </c>
      <c r="D3">
        <v>1.9199999999999998E-2</v>
      </c>
      <c r="E3">
        <v>1.8431999999999997E-2</v>
      </c>
      <c r="F3">
        <v>1.7694719999999997E-2</v>
      </c>
      <c r="G3">
        <v>1.6986931199999996E-2</v>
      </c>
      <c r="H3">
        <v>1.6307453951999996E-2</v>
      </c>
      <c r="I3">
        <v>1.5655155793919996E-2</v>
      </c>
      <c r="J3">
        <v>1.5028949562163196E-2</v>
      </c>
    </row>
    <row r="4" spans="1:10" x14ac:dyDescent="0.25">
      <c r="B4" t="s">
        <v>164</v>
      </c>
      <c r="C4">
        <v>0.03</v>
      </c>
      <c r="D4">
        <v>2.8799999999999999E-2</v>
      </c>
      <c r="E4">
        <v>2.7647999999999999E-2</v>
      </c>
      <c r="F4">
        <v>2.6542079999999999E-2</v>
      </c>
      <c r="G4">
        <v>2.5480396799999999E-2</v>
      </c>
      <c r="H4">
        <v>2.4461180927999999E-2</v>
      </c>
      <c r="I4">
        <v>2.3482733690879998E-2</v>
      </c>
      <c r="J4">
        <v>2.2543424343244797E-2</v>
      </c>
    </row>
    <row r="5" spans="1:10" x14ac:dyDescent="0.25">
      <c r="B5" t="s">
        <v>165</v>
      </c>
      <c r="C5">
        <v>0.03</v>
      </c>
      <c r="D5">
        <v>2.8799999999999999E-2</v>
      </c>
      <c r="E5">
        <v>2.7647999999999999E-2</v>
      </c>
      <c r="F5">
        <v>2.6542079999999999E-2</v>
      </c>
      <c r="G5">
        <v>2.5480396799999999E-2</v>
      </c>
      <c r="H5">
        <v>2.4461180927999999E-2</v>
      </c>
      <c r="I5">
        <v>2.3482733690879998E-2</v>
      </c>
      <c r="J5">
        <v>2.2543424343244797E-2</v>
      </c>
    </row>
    <row r="6" spans="1:10" x14ac:dyDescent="0.25">
      <c r="B6" t="s">
        <v>166</v>
      </c>
      <c r="C6">
        <v>0.04</v>
      </c>
      <c r="D6">
        <v>3.8399999999999997E-2</v>
      </c>
      <c r="E6">
        <v>3.6863999999999994E-2</v>
      </c>
      <c r="F6">
        <v>3.5389439999999994E-2</v>
      </c>
      <c r="G6">
        <v>3.3973862399999992E-2</v>
      </c>
      <c r="H6">
        <v>3.2614907903999991E-2</v>
      </c>
      <c r="I6">
        <v>3.1310311587839992E-2</v>
      </c>
      <c r="J6">
        <v>3.0057899124326392E-2</v>
      </c>
    </row>
    <row r="7" spans="1:10" x14ac:dyDescent="0.25">
      <c r="B7" t="s">
        <v>167</v>
      </c>
      <c r="C7">
        <v>0.06</v>
      </c>
      <c r="D7">
        <v>5.7599999999999998E-2</v>
      </c>
      <c r="E7">
        <v>5.5295999999999998E-2</v>
      </c>
      <c r="F7">
        <v>5.3084159999999998E-2</v>
      </c>
      <c r="G7">
        <v>5.0960793599999998E-2</v>
      </c>
      <c r="H7">
        <v>4.8922361855999998E-2</v>
      </c>
      <c r="I7">
        <v>4.6965467381759995E-2</v>
      </c>
      <c r="J7">
        <v>4.5086848686489593E-2</v>
      </c>
    </row>
    <row r="8" spans="1:10" x14ac:dyDescent="0.25">
      <c r="B8" t="s">
        <v>168</v>
      </c>
      <c r="C8">
        <v>0.06</v>
      </c>
      <c r="D8">
        <v>5.7599999999999998E-2</v>
      </c>
      <c r="E8">
        <v>5.5295999999999998E-2</v>
      </c>
      <c r="F8">
        <v>5.3084159999999998E-2</v>
      </c>
      <c r="G8">
        <v>5.0960793599999998E-2</v>
      </c>
      <c r="H8">
        <v>4.8922361855999998E-2</v>
      </c>
      <c r="I8">
        <v>4.6965467381759995E-2</v>
      </c>
      <c r="J8">
        <v>4.5086848686489593E-2</v>
      </c>
    </row>
    <row r="9" spans="1:10" x14ac:dyDescent="0.25">
      <c r="B9" t="s">
        <v>296</v>
      </c>
      <c r="C9">
        <v>0</v>
      </c>
      <c r="D9">
        <v>0</v>
      </c>
      <c r="E9">
        <v>0</v>
      </c>
      <c r="F9">
        <v>0</v>
      </c>
      <c r="G9">
        <v>0</v>
      </c>
      <c r="H9">
        <v>0</v>
      </c>
      <c r="I9">
        <v>0</v>
      </c>
      <c r="J9">
        <v>0</v>
      </c>
    </row>
    <row r="10" spans="1:10" x14ac:dyDescent="0.25">
      <c r="A10" t="s">
        <v>132</v>
      </c>
      <c r="B10" t="s">
        <v>186</v>
      </c>
      <c r="C10">
        <v>0.05</v>
      </c>
      <c r="D10">
        <v>4.8000000000000001E-2</v>
      </c>
      <c r="E10">
        <v>4.6079999999999996E-2</v>
      </c>
      <c r="F10">
        <v>4.4236799999999993E-2</v>
      </c>
      <c r="G10">
        <v>4.2467327999999992E-2</v>
      </c>
      <c r="H10">
        <v>4.0768634879999988E-2</v>
      </c>
      <c r="I10">
        <v>3.9137889484799987E-2</v>
      </c>
      <c r="J10">
        <v>3.7572373905407984E-2</v>
      </c>
    </row>
    <row r="11" spans="1:10" x14ac:dyDescent="0.25">
      <c r="B11" t="s">
        <v>187</v>
      </c>
      <c r="C11">
        <v>0.03</v>
      </c>
      <c r="D11">
        <v>2.8799999999999999E-2</v>
      </c>
      <c r="E11">
        <v>2.7647999999999999E-2</v>
      </c>
      <c r="F11">
        <v>2.6542079999999999E-2</v>
      </c>
      <c r="G11">
        <v>2.5480396799999999E-2</v>
      </c>
      <c r="H11">
        <v>2.4461180927999999E-2</v>
      </c>
      <c r="I11">
        <v>2.3482733690879998E-2</v>
      </c>
      <c r="J11">
        <v>2.2543424343244797E-2</v>
      </c>
    </row>
    <row r="12" spans="1:10" x14ac:dyDescent="0.25">
      <c r="B12" t="s">
        <v>188</v>
      </c>
      <c r="C12">
        <v>0.06</v>
      </c>
      <c r="D12">
        <v>5.7599999999999998E-2</v>
      </c>
      <c r="E12">
        <v>5.5295999999999998E-2</v>
      </c>
      <c r="F12">
        <v>5.3084159999999998E-2</v>
      </c>
      <c r="G12">
        <v>5.0960793599999998E-2</v>
      </c>
      <c r="H12">
        <v>4.8922361855999998E-2</v>
      </c>
      <c r="I12">
        <v>4.6965467381759995E-2</v>
      </c>
      <c r="J12">
        <v>4.5086848686489593E-2</v>
      </c>
    </row>
    <row r="13" spans="1:10" x14ac:dyDescent="0.25">
      <c r="B13" t="s">
        <v>169</v>
      </c>
      <c r="C13">
        <v>0.02</v>
      </c>
      <c r="D13">
        <v>1.9199999999999998E-2</v>
      </c>
      <c r="E13">
        <v>1.8431999999999997E-2</v>
      </c>
      <c r="F13">
        <v>1.7694719999999997E-2</v>
      </c>
      <c r="G13">
        <v>1.6986931199999996E-2</v>
      </c>
      <c r="H13">
        <v>1.6307453951999996E-2</v>
      </c>
      <c r="I13">
        <v>1.5655155793919996E-2</v>
      </c>
      <c r="J13">
        <v>1.5028949562163196E-2</v>
      </c>
    </row>
    <row r="14" spans="1:10" x14ac:dyDescent="0.25">
      <c r="B14" t="s">
        <v>296</v>
      </c>
      <c r="C14">
        <v>0</v>
      </c>
      <c r="D14">
        <v>0</v>
      </c>
      <c r="E14">
        <v>0</v>
      </c>
      <c r="F14">
        <v>0</v>
      </c>
      <c r="G14">
        <v>0</v>
      </c>
      <c r="H14">
        <v>0</v>
      </c>
      <c r="I14">
        <v>0</v>
      </c>
      <c r="J14">
        <v>0</v>
      </c>
    </row>
    <row r="15" spans="1:10" x14ac:dyDescent="0.25">
      <c r="A15" t="s">
        <v>124</v>
      </c>
      <c r="B15" t="s">
        <v>171</v>
      </c>
      <c r="C15">
        <v>0.01</v>
      </c>
      <c r="D15">
        <v>9.5999999999999992E-3</v>
      </c>
      <c r="E15">
        <v>9.2159999999999985E-3</v>
      </c>
      <c r="F15">
        <v>8.8473599999999986E-3</v>
      </c>
      <c r="G15">
        <v>8.493465599999998E-3</v>
      </c>
      <c r="H15">
        <v>8.1537269759999979E-3</v>
      </c>
      <c r="I15">
        <v>7.8275778969599981E-3</v>
      </c>
      <c r="J15">
        <v>7.514474781081598E-3</v>
      </c>
    </row>
    <row r="16" spans="1:10" x14ac:dyDescent="0.25">
      <c r="B16" t="s">
        <v>296</v>
      </c>
      <c r="C16">
        <v>0</v>
      </c>
      <c r="D16">
        <v>0</v>
      </c>
      <c r="E16">
        <v>0</v>
      </c>
      <c r="F16">
        <v>0</v>
      </c>
      <c r="G16">
        <v>0</v>
      </c>
      <c r="H16">
        <v>0</v>
      </c>
      <c r="I16">
        <v>0</v>
      </c>
      <c r="J16">
        <v>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7"/>
  <sheetViews>
    <sheetView topLeftCell="A13" workbookViewId="0">
      <selection activeCell="C61" sqref="C61"/>
    </sheetView>
  </sheetViews>
  <sheetFormatPr defaultRowHeight="15" x14ac:dyDescent="0.25"/>
  <cols>
    <col min="1" max="1" width="30.28515625" customWidth="1"/>
    <col min="2" max="2" width="18.42578125" customWidth="1"/>
    <col min="3" max="3" width="23.28515625" customWidth="1"/>
    <col min="4" max="4" width="23.85546875" customWidth="1"/>
    <col min="5" max="5" width="17.140625" customWidth="1"/>
    <col min="6" max="6" width="23.7109375" customWidth="1"/>
    <col min="7" max="7" width="25.7109375" customWidth="1"/>
    <col min="8" max="8" width="33.42578125" customWidth="1"/>
    <col min="9" max="9" width="24.85546875" customWidth="1"/>
  </cols>
  <sheetData>
    <row r="1" spans="1:7" x14ac:dyDescent="0.25">
      <c r="A1" t="s">
        <v>118</v>
      </c>
    </row>
    <row r="2" spans="1:7" x14ac:dyDescent="0.25">
      <c r="A2" t="s">
        <v>206</v>
      </c>
    </row>
    <row r="3" spans="1:7" x14ac:dyDescent="0.25">
      <c r="A3" t="s">
        <v>157</v>
      </c>
    </row>
    <row r="4" spans="1:7" x14ac:dyDescent="0.25">
      <c r="A4" t="s">
        <v>173</v>
      </c>
    </row>
    <row r="6" spans="1:7" x14ac:dyDescent="0.25">
      <c r="A6" t="s">
        <v>206</v>
      </c>
      <c r="B6" t="s">
        <v>157</v>
      </c>
      <c r="C6" t="s">
        <v>173</v>
      </c>
      <c r="D6" t="s">
        <v>182</v>
      </c>
    </row>
    <row r="7" spans="1:7" x14ac:dyDescent="0.25">
      <c r="A7" t="s">
        <v>174</v>
      </c>
      <c r="B7" t="s">
        <v>176</v>
      </c>
      <c r="C7" t="s">
        <v>26</v>
      </c>
      <c r="D7" t="s">
        <v>177</v>
      </c>
    </row>
    <row r="8" spans="1:7" x14ac:dyDescent="0.25">
      <c r="A8" t="s">
        <v>175</v>
      </c>
      <c r="C8" t="s">
        <v>177</v>
      </c>
      <c r="D8" t="s">
        <v>180</v>
      </c>
    </row>
    <row r="9" spans="1:7" x14ac:dyDescent="0.25">
      <c r="C9" t="s">
        <v>180</v>
      </c>
      <c r="D9" t="s">
        <v>179</v>
      </c>
    </row>
    <row r="10" spans="1:7" x14ac:dyDescent="0.25">
      <c r="C10" t="s">
        <v>179</v>
      </c>
    </row>
    <row r="12" spans="1:7" x14ac:dyDescent="0.25">
      <c r="C12" t="s">
        <v>176</v>
      </c>
    </row>
    <row r="13" spans="1:7" x14ac:dyDescent="0.25">
      <c r="A13" t="s">
        <v>174</v>
      </c>
      <c r="B13" t="s">
        <v>175</v>
      </c>
      <c r="C13" s="7" t="s">
        <v>32</v>
      </c>
      <c r="D13" t="s">
        <v>26</v>
      </c>
      <c r="E13" t="s">
        <v>177</v>
      </c>
      <c r="F13" t="s">
        <v>178</v>
      </c>
      <c r="G13" t="s">
        <v>179</v>
      </c>
    </row>
    <row r="14" spans="1:7" x14ac:dyDescent="0.25">
      <c r="A14" s="7" t="s">
        <v>5</v>
      </c>
      <c r="B14" s="7" t="s">
        <v>5</v>
      </c>
      <c r="C14" s="7" t="s">
        <v>33</v>
      </c>
      <c r="D14" s="31" t="s">
        <v>5</v>
      </c>
      <c r="E14" s="1" t="s">
        <v>5</v>
      </c>
      <c r="F14" s="1" t="s">
        <v>5</v>
      </c>
      <c r="G14" t="s">
        <v>5</v>
      </c>
    </row>
    <row r="15" spans="1:7" x14ac:dyDescent="0.25">
      <c r="A15" s="7" t="s">
        <v>8</v>
      </c>
      <c r="B15" s="7" t="s">
        <v>8</v>
      </c>
      <c r="C15" s="7" t="s">
        <v>34</v>
      </c>
      <c r="D15" s="31" t="s">
        <v>8</v>
      </c>
      <c r="E15" s="1" t="s">
        <v>8</v>
      </c>
      <c r="F15" s="1" t="s">
        <v>8</v>
      </c>
      <c r="G15" t="s">
        <v>8</v>
      </c>
    </row>
    <row r="16" spans="1:7" x14ac:dyDescent="0.25">
      <c r="A16" s="7" t="s">
        <v>12</v>
      </c>
      <c r="B16" s="7" t="s">
        <v>12</v>
      </c>
      <c r="C16" s="7" t="s">
        <v>35</v>
      </c>
      <c r="D16" s="31" t="s">
        <v>65</v>
      </c>
      <c r="E16" s="1" t="s">
        <v>65</v>
      </c>
      <c r="F16" s="1" t="s">
        <v>65</v>
      </c>
      <c r="G16" t="s">
        <v>65</v>
      </c>
    </row>
    <row r="17" spans="1:7" x14ac:dyDescent="0.25">
      <c r="A17" s="7" t="s">
        <v>6</v>
      </c>
      <c r="B17" s="7" t="s">
        <v>6</v>
      </c>
      <c r="C17" s="7" t="s">
        <v>36</v>
      </c>
      <c r="D17" s="31" t="s">
        <v>12</v>
      </c>
      <c r="E17" s="1" t="s">
        <v>12</v>
      </c>
      <c r="F17" s="1" t="s">
        <v>12</v>
      </c>
      <c r="G17" t="s">
        <v>12</v>
      </c>
    </row>
    <row r="18" spans="1:7" x14ac:dyDescent="0.25">
      <c r="A18" s="7" t="s">
        <v>222</v>
      </c>
      <c r="B18" s="7" t="s">
        <v>7</v>
      </c>
      <c r="C18" s="7" t="s">
        <v>37</v>
      </c>
      <c r="D18" s="115" t="s">
        <v>239</v>
      </c>
      <c r="E18" s="1" t="s">
        <v>240</v>
      </c>
      <c r="F18" s="1" t="s">
        <v>9</v>
      </c>
      <c r="G18">
        <v>23</v>
      </c>
    </row>
    <row r="19" spans="1:7" x14ac:dyDescent="0.25">
      <c r="A19" s="7" t="s">
        <v>286</v>
      </c>
      <c r="B19" s="7" t="s">
        <v>9</v>
      </c>
      <c r="C19" s="7" t="s">
        <v>38</v>
      </c>
      <c r="D19" s="115" t="s">
        <v>240</v>
      </c>
      <c r="E19" s="31" t="s">
        <v>239</v>
      </c>
      <c r="F19" s="1" t="s">
        <v>260</v>
      </c>
      <c r="G19">
        <v>24</v>
      </c>
    </row>
    <row r="20" spans="1:7" x14ac:dyDescent="0.25">
      <c r="A20" s="120" t="s">
        <v>223</v>
      </c>
      <c r="B20" s="23"/>
      <c r="D20" s="115" t="s">
        <v>238</v>
      </c>
      <c r="E20" s="1" t="s">
        <v>7</v>
      </c>
      <c r="F20" s="1" t="s">
        <v>6</v>
      </c>
      <c r="G20" t="s">
        <v>66</v>
      </c>
    </row>
    <row r="21" spans="1:7" x14ac:dyDescent="0.25">
      <c r="A21" s="121" t="s">
        <v>224</v>
      </c>
      <c r="D21" s="31" t="s">
        <v>243</v>
      </c>
      <c r="E21" s="1" t="s">
        <v>249</v>
      </c>
      <c r="F21" s="1" t="s">
        <v>261</v>
      </c>
      <c r="G21" t="s">
        <v>70</v>
      </c>
    </row>
    <row r="22" spans="1:7" x14ac:dyDescent="0.25">
      <c r="A22" s="121" t="s">
        <v>225</v>
      </c>
      <c r="D22" s="1" t="s">
        <v>7</v>
      </c>
      <c r="E22" s="1" t="s">
        <v>250</v>
      </c>
      <c r="F22" s="1" t="s">
        <v>262</v>
      </c>
      <c r="G22" t="s">
        <v>7</v>
      </c>
    </row>
    <row r="23" spans="1:7" x14ac:dyDescent="0.25">
      <c r="A23" s="121" t="s">
        <v>226</v>
      </c>
      <c r="D23" s="122" t="s">
        <v>9</v>
      </c>
      <c r="E23" s="1" t="s">
        <v>251</v>
      </c>
      <c r="F23" s="122" t="s">
        <v>7</v>
      </c>
      <c r="G23" t="s">
        <v>71</v>
      </c>
    </row>
    <row r="24" spans="1:7" x14ac:dyDescent="0.25">
      <c r="D24" s="7"/>
      <c r="E24" s="137" t="s">
        <v>256</v>
      </c>
      <c r="F24" s="7"/>
      <c r="G24" t="s">
        <v>72</v>
      </c>
    </row>
    <row r="25" spans="1:7" x14ac:dyDescent="0.25">
      <c r="A25" t="s">
        <v>152</v>
      </c>
      <c r="D25" s="7"/>
      <c r="E25" s="138" t="s">
        <v>257</v>
      </c>
      <c r="F25" s="7"/>
      <c r="G25" t="s">
        <v>73</v>
      </c>
    </row>
    <row r="26" spans="1:7" x14ac:dyDescent="0.25">
      <c r="A26" t="s">
        <v>158</v>
      </c>
      <c r="E26" s="7"/>
      <c r="F26" s="7"/>
    </row>
    <row r="27" spans="1:7" x14ac:dyDescent="0.25">
      <c r="A27" t="s">
        <v>160</v>
      </c>
      <c r="F27" s="7"/>
    </row>
    <row r="28" spans="1:7" x14ac:dyDescent="0.25">
      <c r="A28" t="s">
        <v>161</v>
      </c>
      <c r="F28" s="7"/>
    </row>
    <row r="29" spans="1:7" x14ac:dyDescent="0.25">
      <c r="A29" t="s">
        <v>162</v>
      </c>
      <c r="F29" s="7"/>
    </row>
    <row r="30" spans="1:7" x14ac:dyDescent="0.25">
      <c r="A30" t="s">
        <v>183</v>
      </c>
      <c r="F30" s="7"/>
    </row>
    <row r="31" spans="1:7" x14ac:dyDescent="0.25">
      <c r="F31" s="7"/>
    </row>
    <row r="32" spans="1:7" x14ac:dyDescent="0.25">
      <c r="F32" s="7"/>
    </row>
    <row r="33" spans="1:9" x14ac:dyDescent="0.25">
      <c r="A33" t="s">
        <v>152</v>
      </c>
    </row>
    <row r="34" spans="1:9" x14ac:dyDescent="0.25">
      <c r="A34" t="s">
        <v>159</v>
      </c>
    </row>
    <row r="35" spans="1:9" x14ac:dyDescent="0.25">
      <c r="A35" s="114" t="s">
        <v>158</v>
      </c>
      <c r="C35" t="s">
        <v>199</v>
      </c>
      <c r="D35" t="s">
        <v>200</v>
      </c>
      <c r="E35" t="s">
        <v>201</v>
      </c>
      <c r="F35" t="s">
        <v>202</v>
      </c>
      <c r="G35" t="s">
        <v>203</v>
      </c>
      <c r="H35" t="s">
        <v>204</v>
      </c>
      <c r="I35" t="s">
        <v>205</v>
      </c>
    </row>
    <row r="36" spans="1:9" x14ac:dyDescent="0.25">
      <c r="A36" t="s">
        <v>160</v>
      </c>
      <c r="C36">
        <v>1</v>
      </c>
      <c r="D36">
        <v>1</v>
      </c>
      <c r="E36">
        <v>1</v>
      </c>
      <c r="F36">
        <v>1</v>
      </c>
      <c r="G36">
        <v>1</v>
      </c>
      <c r="H36">
        <v>1</v>
      </c>
      <c r="I36">
        <v>1</v>
      </c>
    </row>
    <row r="37" spans="1:9" x14ac:dyDescent="0.25">
      <c r="A37" t="s">
        <v>161</v>
      </c>
      <c r="C37">
        <v>2</v>
      </c>
      <c r="D37">
        <v>2</v>
      </c>
      <c r="E37">
        <v>2</v>
      </c>
      <c r="F37">
        <v>2</v>
      </c>
      <c r="G37">
        <v>2</v>
      </c>
      <c r="H37">
        <v>2</v>
      </c>
      <c r="I37">
        <v>2</v>
      </c>
    </row>
    <row r="38" spans="1:9" x14ac:dyDescent="0.25">
      <c r="A38" t="s">
        <v>162</v>
      </c>
      <c r="C38">
        <v>3</v>
      </c>
      <c r="E38">
        <v>3</v>
      </c>
      <c r="F38">
        <v>3</v>
      </c>
      <c r="G38">
        <v>3</v>
      </c>
      <c r="H38">
        <v>3</v>
      </c>
      <c r="I38">
        <v>3</v>
      </c>
    </row>
    <row r="39" spans="1:9" x14ac:dyDescent="0.25">
      <c r="A39" t="s">
        <v>183</v>
      </c>
      <c r="C39">
        <v>4</v>
      </c>
      <c r="E39">
        <v>4</v>
      </c>
      <c r="F39">
        <v>4</v>
      </c>
      <c r="G39">
        <v>4</v>
      </c>
      <c r="H39">
        <v>4</v>
      </c>
      <c r="I39">
        <v>4</v>
      </c>
    </row>
    <row r="40" spans="1:9" x14ac:dyDescent="0.25">
      <c r="C40">
        <v>5</v>
      </c>
      <c r="F40">
        <v>5</v>
      </c>
      <c r="G40">
        <v>5</v>
      </c>
      <c r="H40">
        <v>5</v>
      </c>
      <c r="I40">
        <v>5</v>
      </c>
    </row>
    <row r="41" spans="1:9" x14ac:dyDescent="0.25">
      <c r="A41" t="s">
        <v>153</v>
      </c>
      <c r="C41">
        <v>6</v>
      </c>
      <c r="F41">
        <v>6</v>
      </c>
      <c r="G41">
        <v>6</v>
      </c>
      <c r="H41">
        <v>6</v>
      </c>
      <c r="I41">
        <v>6</v>
      </c>
    </row>
    <row r="42" spans="1:9" x14ac:dyDescent="0.25">
      <c r="A42" t="s">
        <v>163</v>
      </c>
      <c r="C42">
        <v>7</v>
      </c>
      <c r="F42">
        <v>7</v>
      </c>
      <c r="G42">
        <v>7</v>
      </c>
      <c r="H42">
        <v>7</v>
      </c>
      <c r="I42">
        <v>7</v>
      </c>
    </row>
    <row r="43" spans="1:9" x14ac:dyDescent="0.25">
      <c r="A43" t="s">
        <v>164</v>
      </c>
      <c r="C43">
        <v>8</v>
      </c>
      <c r="F43">
        <v>8</v>
      </c>
      <c r="G43">
        <v>8</v>
      </c>
      <c r="H43">
        <v>8</v>
      </c>
      <c r="I43">
        <v>8</v>
      </c>
    </row>
    <row r="44" spans="1:9" x14ac:dyDescent="0.25">
      <c r="A44" t="s">
        <v>165</v>
      </c>
    </row>
    <row r="45" spans="1:9" x14ac:dyDescent="0.25">
      <c r="A45" t="s">
        <v>166</v>
      </c>
    </row>
    <row r="46" spans="1:9" x14ac:dyDescent="0.25">
      <c r="A46" t="s">
        <v>167</v>
      </c>
    </row>
    <row r="47" spans="1:9" x14ac:dyDescent="0.25">
      <c r="A47" t="s">
        <v>168</v>
      </c>
      <c r="C47" t="s">
        <v>156</v>
      </c>
    </row>
    <row r="48" spans="1:9" x14ac:dyDescent="0.25">
      <c r="A48" t="s">
        <v>296</v>
      </c>
      <c r="C48">
        <v>1</v>
      </c>
    </row>
    <row r="49" spans="1:6" x14ac:dyDescent="0.25">
      <c r="C49">
        <v>2</v>
      </c>
    </row>
    <row r="50" spans="1:6" x14ac:dyDescent="0.25">
      <c r="A50" t="s">
        <v>154</v>
      </c>
      <c r="C50">
        <v>3</v>
      </c>
    </row>
    <row r="51" spans="1:6" x14ac:dyDescent="0.25">
      <c r="A51" t="s">
        <v>186</v>
      </c>
      <c r="C51">
        <v>4</v>
      </c>
    </row>
    <row r="52" spans="1:6" x14ac:dyDescent="0.25">
      <c r="A52" t="s">
        <v>187</v>
      </c>
      <c r="C52">
        <v>5</v>
      </c>
    </row>
    <row r="53" spans="1:6" x14ac:dyDescent="0.25">
      <c r="A53" t="s">
        <v>188</v>
      </c>
      <c r="C53">
        <v>6</v>
      </c>
    </row>
    <row r="54" spans="1:6" x14ac:dyDescent="0.25">
      <c r="A54" t="s">
        <v>169</v>
      </c>
      <c r="C54">
        <v>7</v>
      </c>
    </row>
    <row r="55" spans="1:6" x14ac:dyDescent="0.25">
      <c r="A55" t="s">
        <v>296</v>
      </c>
      <c r="C55">
        <v>8</v>
      </c>
    </row>
    <row r="57" spans="1:6" x14ac:dyDescent="0.25">
      <c r="A57" t="s">
        <v>170</v>
      </c>
    </row>
    <row r="58" spans="1:6" x14ac:dyDescent="0.25">
      <c r="A58" t="s">
        <v>171</v>
      </c>
    </row>
    <row r="59" spans="1:6" x14ac:dyDescent="0.25">
      <c r="A59" t="s">
        <v>296</v>
      </c>
    </row>
    <row r="61" spans="1:6" x14ac:dyDescent="0.25">
      <c r="A61" t="s">
        <v>215</v>
      </c>
      <c r="B61" t="s">
        <v>216</v>
      </c>
      <c r="F61" t="s">
        <v>215</v>
      </c>
    </row>
    <row r="62" spans="1:6" x14ac:dyDescent="0.25">
      <c r="A62" t="s">
        <v>159</v>
      </c>
      <c r="B62" t="s">
        <v>296</v>
      </c>
      <c r="F62" t="s">
        <v>159</v>
      </c>
    </row>
    <row r="63" spans="1:6" x14ac:dyDescent="0.25">
      <c r="A63" t="s">
        <v>158</v>
      </c>
      <c r="B63" t="s">
        <v>296</v>
      </c>
      <c r="F63" t="s">
        <v>158</v>
      </c>
    </row>
    <row r="64" spans="1:6" x14ac:dyDescent="0.25">
      <c r="A64" s="117" t="s">
        <v>160</v>
      </c>
      <c r="B64" t="s">
        <v>163</v>
      </c>
      <c r="F64" t="s">
        <v>160</v>
      </c>
    </row>
    <row r="65" spans="1:6" x14ac:dyDescent="0.25">
      <c r="A65" s="117" t="s">
        <v>160</v>
      </c>
      <c r="B65" t="s">
        <v>164</v>
      </c>
      <c r="F65" t="s">
        <v>161</v>
      </c>
    </row>
    <row r="66" spans="1:6" x14ac:dyDescent="0.25">
      <c r="A66" s="117" t="s">
        <v>160</v>
      </c>
      <c r="B66" t="s">
        <v>165</v>
      </c>
      <c r="F66" t="s">
        <v>162</v>
      </c>
    </row>
    <row r="67" spans="1:6" x14ac:dyDescent="0.25">
      <c r="A67" s="117" t="s">
        <v>160</v>
      </c>
      <c r="B67" t="s">
        <v>166</v>
      </c>
      <c r="F67" t="s">
        <v>183</v>
      </c>
    </row>
    <row r="68" spans="1:6" x14ac:dyDescent="0.25">
      <c r="A68" s="117" t="s">
        <v>160</v>
      </c>
      <c r="B68" t="s">
        <v>167</v>
      </c>
    </row>
    <row r="69" spans="1:6" x14ac:dyDescent="0.25">
      <c r="A69" s="117" t="s">
        <v>160</v>
      </c>
      <c r="B69" t="s">
        <v>168</v>
      </c>
    </row>
    <row r="70" spans="1:6" x14ac:dyDescent="0.25">
      <c r="A70" s="117" t="s">
        <v>160</v>
      </c>
      <c r="B70" t="s">
        <v>296</v>
      </c>
    </row>
    <row r="71" spans="1:6" x14ac:dyDescent="0.25">
      <c r="A71" t="s">
        <v>161</v>
      </c>
      <c r="B71" t="s">
        <v>163</v>
      </c>
    </row>
    <row r="72" spans="1:6" x14ac:dyDescent="0.25">
      <c r="A72" t="s">
        <v>161</v>
      </c>
      <c r="B72" t="s">
        <v>164</v>
      </c>
    </row>
    <row r="73" spans="1:6" x14ac:dyDescent="0.25">
      <c r="A73" t="s">
        <v>161</v>
      </c>
      <c r="B73" t="s">
        <v>165</v>
      </c>
    </row>
    <row r="74" spans="1:6" x14ac:dyDescent="0.25">
      <c r="A74" t="s">
        <v>161</v>
      </c>
      <c r="B74" t="s">
        <v>166</v>
      </c>
    </row>
    <row r="75" spans="1:6" x14ac:dyDescent="0.25">
      <c r="A75" t="s">
        <v>161</v>
      </c>
      <c r="B75" t="s">
        <v>167</v>
      </c>
    </row>
    <row r="76" spans="1:6" x14ac:dyDescent="0.25">
      <c r="A76" t="s">
        <v>161</v>
      </c>
      <c r="B76" t="s">
        <v>168</v>
      </c>
    </row>
    <row r="77" spans="1:6" x14ac:dyDescent="0.25">
      <c r="A77" t="s">
        <v>161</v>
      </c>
      <c r="B77" t="s">
        <v>296</v>
      </c>
    </row>
    <row r="78" spans="1:6" x14ac:dyDescent="0.25">
      <c r="A78" t="s">
        <v>162</v>
      </c>
      <c r="B78" t="s">
        <v>163</v>
      </c>
    </row>
    <row r="79" spans="1:6" x14ac:dyDescent="0.25">
      <c r="A79" t="s">
        <v>162</v>
      </c>
      <c r="B79" t="s">
        <v>164</v>
      </c>
    </row>
    <row r="80" spans="1:6" x14ac:dyDescent="0.25">
      <c r="A80" t="s">
        <v>162</v>
      </c>
      <c r="B80" t="s">
        <v>165</v>
      </c>
    </row>
    <row r="81" spans="1:2" x14ac:dyDescent="0.25">
      <c r="A81" t="s">
        <v>162</v>
      </c>
      <c r="B81" t="s">
        <v>166</v>
      </c>
    </row>
    <row r="82" spans="1:2" x14ac:dyDescent="0.25">
      <c r="A82" t="s">
        <v>162</v>
      </c>
      <c r="B82" t="s">
        <v>167</v>
      </c>
    </row>
    <row r="83" spans="1:2" x14ac:dyDescent="0.25">
      <c r="A83" t="s">
        <v>162</v>
      </c>
      <c r="B83" t="s">
        <v>168</v>
      </c>
    </row>
    <row r="84" spans="1:2" x14ac:dyDescent="0.25">
      <c r="A84" t="s">
        <v>162</v>
      </c>
      <c r="B84" t="s">
        <v>296</v>
      </c>
    </row>
    <row r="85" spans="1:2" x14ac:dyDescent="0.25">
      <c r="A85" t="s">
        <v>183</v>
      </c>
      <c r="B85" t="s">
        <v>163</v>
      </c>
    </row>
    <row r="86" spans="1:2" x14ac:dyDescent="0.25">
      <c r="A86" t="s">
        <v>183</v>
      </c>
      <c r="B86" t="s">
        <v>164</v>
      </c>
    </row>
    <row r="87" spans="1:2" x14ac:dyDescent="0.25">
      <c r="A87" t="s">
        <v>183</v>
      </c>
      <c r="B87" t="s">
        <v>165</v>
      </c>
    </row>
    <row r="88" spans="1:2" x14ac:dyDescent="0.25">
      <c r="A88" t="s">
        <v>183</v>
      </c>
      <c r="B88" t="s">
        <v>166</v>
      </c>
    </row>
    <row r="89" spans="1:2" x14ac:dyDescent="0.25">
      <c r="A89" t="s">
        <v>183</v>
      </c>
      <c r="B89" t="s">
        <v>167</v>
      </c>
    </row>
    <row r="90" spans="1:2" x14ac:dyDescent="0.25">
      <c r="A90" t="s">
        <v>183</v>
      </c>
      <c r="B90" t="s">
        <v>168</v>
      </c>
    </row>
    <row r="91" spans="1:2" x14ac:dyDescent="0.25">
      <c r="A91" t="s">
        <v>183</v>
      </c>
      <c r="B91" t="s">
        <v>296</v>
      </c>
    </row>
    <row r="93" spans="1:2" x14ac:dyDescent="0.25">
      <c r="A93" t="s">
        <v>219</v>
      </c>
      <c r="B93" t="s">
        <v>217</v>
      </c>
    </row>
    <row r="94" spans="1:2" x14ac:dyDescent="0.25">
      <c r="A94" t="s">
        <v>159</v>
      </c>
      <c r="B94" t="s">
        <v>296</v>
      </c>
    </row>
    <row r="95" spans="1:2" x14ac:dyDescent="0.25">
      <c r="A95" t="s">
        <v>158</v>
      </c>
      <c r="B95" t="s">
        <v>296</v>
      </c>
    </row>
    <row r="96" spans="1:2" x14ac:dyDescent="0.25">
      <c r="A96" t="s">
        <v>160</v>
      </c>
      <c r="B96" t="s">
        <v>186</v>
      </c>
    </row>
    <row r="97" spans="1:2" x14ac:dyDescent="0.25">
      <c r="A97" t="s">
        <v>160</v>
      </c>
      <c r="B97" t="s">
        <v>187</v>
      </c>
    </row>
    <row r="98" spans="1:2" x14ac:dyDescent="0.25">
      <c r="A98" t="s">
        <v>160</v>
      </c>
      <c r="B98" t="s">
        <v>188</v>
      </c>
    </row>
    <row r="99" spans="1:2" x14ac:dyDescent="0.25">
      <c r="A99" t="s">
        <v>160</v>
      </c>
      <c r="B99" t="s">
        <v>169</v>
      </c>
    </row>
    <row r="100" spans="1:2" x14ac:dyDescent="0.25">
      <c r="A100" t="s">
        <v>160</v>
      </c>
      <c r="B100" t="s">
        <v>296</v>
      </c>
    </row>
    <row r="101" spans="1:2" x14ac:dyDescent="0.25">
      <c r="A101" t="s">
        <v>161</v>
      </c>
      <c r="B101" t="s">
        <v>186</v>
      </c>
    </row>
    <row r="102" spans="1:2" x14ac:dyDescent="0.25">
      <c r="A102" t="s">
        <v>161</v>
      </c>
      <c r="B102" t="s">
        <v>187</v>
      </c>
    </row>
    <row r="103" spans="1:2" x14ac:dyDescent="0.25">
      <c r="A103" t="s">
        <v>161</v>
      </c>
      <c r="B103" t="s">
        <v>188</v>
      </c>
    </row>
    <row r="104" spans="1:2" x14ac:dyDescent="0.25">
      <c r="A104" t="s">
        <v>161</v>
      </c>
      <c r="B104" t="s">
        <v>169</v>
      </c>
    </row>
    <row r="105" spans="1:2" x14ac:dyDescent="0.25">
      <c r="A105" t="s">
        <v>161</v>
      </c>
      <c r="B105" t="s">
        <v>296</v>
      </c>
    </row>
    <row r="106" spans="1:2" x14ac:dyDescent="0.25">
      <c r="A106" t="s">
        <v>162</v>
      </c>
      <c r="B106" t="s">
        <v>186</v>
      </c>
    </row>
    <row r="107" spans="1:2" x14ac:dyDescent="0.25">
      <c r="A107" t="s">
        <v>162</v>
      </c>
      <c r="B107" t="s">
        <v>187</v>
      </c>
    </row>
    <row r="108" spans="1:2" x14ac:dyDescent="0.25">
      <c r="A108" t="s">
        <v>162</v>
      </c>
      <c r="B108" t="s">
        <v>188</v>
      </c>
    </row>
    <row r="109" spans="1:2" x14ac:dyDescent="0.25">
      <c r="A109" t="s">
        <v>162</v>
      </c>
      <c r="B109" t="s">
        <v>169</v>
      </c>
    </row>
    <row r="110" spans="1:2" x14ac:dyDescent="0.25">
      <c r="A110" t="s">
        <v>162</v>
      </c>
      <c r="B110" t="s">
        <v>296</v>
      </c>
    </row>
    <row r="111" spans="1:2" x14ac:dyDescent="0.25">
      <c r="A111" t="s">
        <v>183</v>
      </c>
      <c r="B111" t="s">
        <v>186</v>
      </c>
    </row>
    <row r="112" spans="1:2" x14ac:dyDescent="0.25">
      <c r="A112" t="s">
        <v>183</v>
      </c>
      <c r="B112" t="s">
        <v>187</v>
      </c>
    </row>
    <row r="113" spans="1:2" x14ac:dyDescent="0.25">
      <c r="A113" t="s">
        <v>183</v>
      </c>
      <c r="B113" t="s">
        <v>188</v>
      </c>
    </row>
    <row r="114" spans="1:2" x14ac:dyDescent="0.25">
      <c r="A114" t="s">
        <v>183</v>
      </c>
      <c r="B114" t="s">
        <v>169</v>
      </c>
    </row>
    <row r="115" spans="1:2" x14ac:dyDescent="0.25">
      <c r="A115" t="s">
        <v>183</v>
      </c>
      <c r="B115" t="s">
        <v>296</v>
      </c>
    </row>
    <row r="117" spans="1:2" x14ac:dyDescent="0.25">
      <c r="A117" t="s">
        <v>220</v>
      </c>
      <c r="B117" t="s">
        <v>218</v>
      </c>
    </row>
    <row r="118" spans="1:2" x14ac:dyDescent="0.25">
      <c r="A118" t="s">
        <v>159</v>
      </c>
      <c r="B118" t="s">
        <v>296</v>
      </c>
    </row>
    <row r="119" spans="1:2" x14ac:dyDescent="0.25">
      <c r="A119" t="s">
        <v>158</v>
      </c>
      <c r="B119" t="s">
        <v>296</v>
      </c>
    </row>
    <row r="120" spans="1:2" x14ac:dyDescent="0.25">
      <c r="A120" t="s">
        <v>160</v>
      </c>
      <c r="B120" t="s">
        <v>171</v>
      </c>
    </row>
    <row r="121" spans="1:2" x14ac:dyDescent="0.25">
      <c r="A121" t="s">
        <v>160</v>
      </c>
      <c r="B121" t="s">
        <v>296</v>
      </c>
    </row>
    <row r="122" spans="1:2" x14ac:dyDescent="0.25">
      <c r="A122" t="s">
        <v>161</v>
      </c>
      <c r="B122" t="s">
        <v>171</v>
      </c>
    </row>
    <row r="123" spans="1:2" x14ac:dyDescent="0.25">
      <c r="A123" t="s">
        <v>161</v>
      </c>
      <c r="B123" t="s">
        <v>296</v>
      </c>
    </row>
    <row r="124" spans="1:2" x14ac:dyDescent="0.25">
      <c r="A124" t="s">
        <v>162</v>
      </c>
      <c r="B124" t="s">
        <v>171</v>
      </c>
    </row>
    <row r="125" spans="1:2" x14ac:dyDescent="0.25">
      <c r="A125" t="s">
        <v>162</v>
      </c>
      <c r="B125" t="s">
        <v>296</v>
      </c>
    </row>
    <row r="126" spans="1:2" x14ac:dyDescent="0.25">
      <c r="A126" t="s">
        <v>183</v>
      </c>
      <c r="B126" t="s">
        <v>171</v>
      </c>
    </row>
    <row r="127" spans="1:2" x14ac:dyDescent="0.25">
      <c r="A127" t="s">
        <v>183</v>
      </c>
      <c r="B127" t="s">
        <v>296</v>
      </c>
    </row>
  </sheetData>
  <pageMargins left="0.7" right="0.7" top="0.75" bottom="0.75" header="0.3" footer="0.3"/>
  <pageSetup orientation="portrait" r:id="rId1"/>
  <tableParts count="2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7"/>
  <sheetViews>
    <sheetView workbookViewId="0">
      <selection sqref="A1:G1"/>
    </sheetView>
  </sheetViews>
  <sheetFormatPr defaultRowHeight="15" x14ac:dyDescent="0.25"/>
  <cols>
    <col min="1" max="1" width="13.5703125" customWidth="1"/>
    <col min="2" max="2" width="9.85546875" bestFit="1" customWidth="1"/>
    <col min="3" max="3" width="16.85546875" customWidth="1"/>
    <col min="4" max="4" width="12.5703125" bestFit="1" customWidth="1"/>
    <col min="5" max="6" width="12.5703125" customWidth="1"/>
    <col min="7" max="7" width="14.7109375" customWidth="1"/>
    <col min="9" max="10" width="0" hidden="1" customWidth="1"/>
    <col min="11" max="11" width="11.42578125" hidden="1" customWidth="1"/>
    <col min="12" max="14" width="0" hidden="1" customWidth="1"/>
    <col min="15" max="15" width="10.5703125" hidden="1" customWidth="1"/>
    <col min="16" max="16" width="0" hidden="1" customWidth="1"/>
  </cols>
  <sheetData>
    <row r="1" spans="1:12" x14ac:dyDescent="0.25">
      <c r="A1" s="209" t="s">
        <v>68</v>
      </c>
      <c r="B1" s="209"/>
      <c r="C1" s="209"/>
      <c r="D1" s="209"/>
      <c r="E1" s="209"/>
      <c r="F1" s="209"/>
      <c r="G1" s="210"/>
    </row>
    <row r="2" spans="1:12" ht="15" customHeight="1" x14ac:dyDescent="0.25">
      <c r="A2" s="211" t="s">
        <v>64</v>
      </c>
      <c r="B2" s="213" t="s">
        <v>4</v>
      </c>
      <c r="C2" s="214" t="s">
        <v>0</v>
      </c>
      <c r="D2" s="215" t="s">
        <v>10</v>
      </c>
      <c r="E2" s="215"/>
      <c r="F2" s="215"/>
      <c r="G2" s="214" t="s">
        <v>76</v>
      </c>
    </row>
    <row r="3" spans="1:12" x14ac:dyDescent="0.25">
      <c r="A3" s="212"/>
      <c r="B3" s="213"/>
      <c r="C3" s="214"/>
      <c r="D3" s="123" t="s">
        <v>1</v>
      </c>
      <c r="E3" s="123"/>
      <c r="F3" s="123" t="s">
        <v>3</v>
      </c>
      <c r="G3" s="214"/>
    </row>
    <row r="4" spans="1:12" x14ac:dyDescent="0.25">
      <c r="A4" s="207" t="s">
        <v>26</v>
      </c>
      <c r="B4" s="31" t="s">
        <v>5</v>
      </c>
      <c r="C4" s="4">
        <f>'Basic Service Rates'!I19</f>
        <v>0.10871</v>
      </c>
      <c r="D4" s="4">
        <v>3.134E-2</v>
      </c>
      <c r="E4" s="4">
        <v>5.2679999999999998E-2</v>
      </c>
      <c r="F4" s="4">
        <v>-5.3899999999999998E-3</v>
      </c>
      <c r="G4" s="2">
        <f t="shared" ref="G4:G47" si="0">C4+D4+E4+F4</f>
        <v>0.18734000000000001</v>
      </c>
    </row>
    <row r="5" spans="1:12" x14ac:dyDescent="0.25">
      <c r="A5" s="207"/>
      <c r="B5" s="31" t="s">
        <v>8</v>
      </c>
      <c r="C5" s="4">
        <f>C4</f>
        <v>0.10871</v>
      </c>
      <c r="D5" s="4">
        <v>3.134E-2</v>
      </c>
      <c r="E5" s="4">
        <v>5.2679999999999998E-2</v>
      </c>
      <c r="F5" s="4">
        <v>-5.3899999999999998E-3</v>
      </c>
      <c r="G5" s="2">
        <f t="shared" si="0"/>
        <v>0.18734000000000001</v>
      </c>
    </row>
    <row r="6" spans="1:12" x14ac:dyDescent="0.25">
      <c r="A6" s="207"/>
      <c r="B6" s="31" t="s">
        <v>65</v>
      </c>
      <c r="C6" s="4">
        <f>C4</f>
        <v>0.10871</v>
      </c>
      <c r="D6" s="4">
        <v>3.6859999999999997E-2</v>
      </c>
      <c r="E6" s="4">
        <v>5.7680000000000002E-2</v>
      </c>
      <c r="F6" s="4">
        <v>-5.0500000000000007E-3</v>
      </c>
      <c r="G6" s="2">
        <f t="shared" si="0"/>
        <v>0.19820000000000002</v>
      </c>
    </row>
    <row r="7" spans="1:12" x14ac:dyDescent="0.25">
      <c r="A7" s="207"/>
      <c r="B7" s="31" t="s">
        <v>12</v>
      </c>
      <c r="C7" s="4">
        <f>C4</f>
        <v>0.10871</v>
      </c>
      <c r="D7" s="4">
        <v>3.6859999999999997E-2</v>
      </c>
      <c r="E7" s="4">
        <v>5.7680000000000002E-2</v>
      </c>
      <c r="F7" s="4">
        <v>-5.0500000000000007E-3</v>
      </c>
      <c r="G7" s="2">
        <f t="shared" si="0"/>
        <v>0.19820000000000002</v>
      </c>
    </row>
    <row r="8" spans="1:12" x14ac:dyDescent="0.25">
      <c r="A8" s="207"/>
      <c r="B8" s="124" t="s">
        <v>239</v>
      </c>
      <c r="C8" s="4">
        <f>'Basic Service Rates'!I24</f>
        <v>0.10641</v>
      </c>
      <c r="D8" s="4">
        <v>0</v>
      </c>
      <c r="E8" s="4">
        <v>1.9970000000000002E-2</v>
      </c>
      <c r="F8" s="4">
        <v>-3.9500000000000004E-3</v>
      </c>
      <c r="G8" s="2">
        <f t="shared" si="0"/>
        <v>0.12243</v>
      </c>
    </row>
    <row r="9" spans="1:12" x14ac:dyDescent="0.25">
      <c r="A9" s="207"/>
      <c r="B9" s="31" t="s">
        <v>240</v>
      </c>
      <c r="C9" s="4">
        <f>C8</f>
        <v>0.10641</v>
      </c>
      <c r="D9" s="4">
        <v>2.938E-2</v>
      </c>
      <c r="E9" s="4">
        <v>4.4879999999999996E-2</v>
      </c>
      <c r="F9" s="4">
        <v>-4.5500000000000002E-3</v>
      </c>
      <c r="G9" s="2">
        <f t="shared" si="0"/>
        <v>0.17612</v>
      </c>
    </row>
    <row r="10" spans="1:12" x14ac:dyDescent="0.25">
      <c r="A10" s="207"/>
      <c r="B10" s="1" t="s">
        <v>238</v>
      </c>
      <c r="C10" s="4">
        <f>C8</f>
        <v>0.10641</v>
      </c>
      <c r="D10" s="16">
        <f>0.09966*J10+0*L10</f>
        <v>2.2285083333333334E-2</v>
      </c>
      <c r="E10" s="16">
        <f>ROUND(0.07471*J10+0.03463*L10,5)</f>
        <v>4.3589999999999997E-2</v>
      </c>
      <c r="F10" s="16">
        <v>-4.5500000000000002E-3</v>
      </c>
      <c r="G10" s="16">
        <f t="shared" si="0"/>
        <v>0.16773508333333334</v>
      </c>
      <c r="I10" t="s">
        <v>241</v>
      </c>
      <c r="J10" s="125">
        <f>(((9*21)*8)+((5*21)*4))/(24*30*12)</f>
        <v>0.22361111111111112</v>
      </c>
      <c r="K10" t="s">
        <v>242</v>
      </c>
      <c r="L10" s="126">
        <f>1-J10</f>
        <v>0.77638888888888891</v>
      </c>
    </row>
    <row r="11" spans="1:12" x14ac:dyDescent="0.25">
      <c r="A11" s="207"/>
      <c r="B11" s="1" t="s">
        <v>243</v>
      </c>
      <c r="C11" s="4">
        <f>C8</f>
        <v>0.10641</v>
      </c>
      <c r="D11" s="4">
        <v>0</v>
      </c>
      <c r="E11" s="4">
        <v>1.9089999999999999E-2</v>
      </c>
      <c r="F11" s="4">
        <v>-3.9500000000000004E-3</v>
      </c>
      <c r="G11" s="2">
        <f t="shared" si="0"/>
        <v>0.12155000000000001</v>
      </c>
    </row>
    <row r="12" spans="1:12" x14ac:dyDescent="0.25">
      <c r="A12" s="207"/>
      <c r="B12" s="1" t="s">
        <v>7</v>
      </c>
      <c r="C12" s="4">
        <f>'Basic Service Rates'!O29</f>
        <v>0.10084</v>
      </c>
      <c r="D12" s="4">
        <v>0</v>
      </c>
      <c r="E12" s="4">
        <v>1.6039999999999999E-2</v>
      </c>
      <c r="F12" s="4">
        <v>-3.46E-3</v>
      </c>
      <c r="G12" s="2">
        <f t="shared" si="0"/>
        <v>0.11341999999999999</v>
      </c>
    </row>
    <row r="13" spans="1:12" x14ac:dyDescent="0.25">
      <c r="A13" s="207"/>
      <c r="B13" s="1" t="s">
        <v>9</v>
      </c>
      <c r="C13" s="4">
        <f>C12</f>
        <v>0.10084</v>
      </c>
      <c r="D13" s="4">
        <v>0</v>
      </c>
      <c r="E13" s="4">
        <v>7.43E-3</v>
      </c>
      <c r="F13" s="4">
        <v>-2.8500000000000001E-3</v>
      </c>
      <c r="G13" s="2">
        <f t="shared" si="0"/>
        <v>0.10542</v>
      </c>
    </row>
    <row r="14" spans="1:12" x14ac:dyDescent="0.25">
      <c r="A14" s="208" t="s">
        <v>27</v>
      </c>
      <c r="B14" s="31" t="s">
        <v>5</v>
      </c>
      <c r="C14" s="4">
        <f>C4</f>
        <v>0.10871</v>
      </c>
      <c r="D14" s="16">
        <v>2.307E-2</v>
      </c>
      <c r="E14" s="16">
        <v>5.5849999999999997E-2</v>
      </c>
      <c r="F14" s="16">
        <v>-2.4299999999999999E-3</v>
      </c>
      <c r="G14" s="2">
        <f t="shared" si="0"/>
        <v>0.18520000000000003</v>
      </c>
    </row>
    <row r="15" spans="1:12" x14ac:dyDescent="0.25">
      <c r="A15" s="208"/>
      <c r="B15" s="31" t="s">
        <v>8</v>
      </c>
      <c r="C15" s="4">
        <f>C4</f>
        <v>0.10871</v>
      </c>
      <c r="D15" s="16">
        <v>2.307E-2</v>
      </c>
      <c r="E15" s="16">
        <v>5.5849999999999997E-2</v>
      </c>
      <c r="F15" s="16">
        <v>-2.4299999999999999E-3</v>
      </c>
      <c r="G15" s="2">
        <f t="shared" si="0"/>
        <v>0.18520000000000003</v>
      </c>
    </row>
    <row r="16" spans="1:12" x14ac:dyDescent="0.25">
      <c r="A16" s="208"/>
      <c r="B16" s="31" t="s">
        <v>65</v>
      </c>
      <c r="C16" s="4">
        <f>C4</f>
        <v>0.10871</v>
      </c>
      <c r="D16" s="16">
        <v>2.2769999999999999E-2</v>
      </c>
      <c r="E16" s="16">
        <v>4.5999999999999999E-2</v>
      </c>
      <c r="F16" s="16">
        <v>-1.98E-3</v>
      </c>
      <c r="G16" s="2">
        <f t="shared" si="0"/>
        <v>0.17549999999999996</v>
      </c>
    </row>
    <row r="17" spans="1:16" x14ac:dyDescent="0.25">
      <c r="A17" s="208"/>
      <c r="B17" s="31" t="s">
        <v>12</v>
      </c>
      <c r="C17" s="4">
        <f>C4</f>
        <v>0.10871</v>
      </c>
      <c r="D17" s="16">
        <v>2.2769999999999999E-2</v>
      </c>
      <c r="E17" s="16">
        <v>4.5999999999999999E-2</v>
      </c>
      <c r="F17" s="16">
        <v>-1.98E-3</v>
      </c>
      <c r="G17" s="2">
        <f t="shared" si="0"/>
        <v>0.17549999999999996</v>
      </c>
    </row>
    <row r="18" spans="1:16" x14ac:dyDescent="0.25">
      <c r="A18" s="208"/>
      <c r="B18" s="31" t="s">
        <v>240</v>
      </c>
      <c r="C18" s="4">
        <f>C8</f>
        <v>0.10641</v>
      </c>
      <c r="D18" s="16">
        <v>2.9729999999999999E-2</v>
      </c>
      <c r="E18" s="16">
        <f>ROUND(0.05797*J18+0.08596*L18,5)</f>
        <v>6.7299999999999999E-2</v>
      </c>
      <c r="F18" s="16">
        <v>-2.7599999999999999E-3</v>
      </c>
      <c r="G18" s="2">
        <f t="shared" si="0"/>
        <v>0.20068</v>
      </c>
      <c r="I18" t="s">
        <v>244</v>
      </c>
      <c r="J18" s="125">
        <f>8/12</f>
        <v>0.66666666666666663</v>
      </c>
      <c r="K18" t="s">
        <v>245</v>
      </c>
      <c r="L18" s="127">
        <f>1-J18</f>
        <v>0.33333333333333337</v>
      </c>
    </row>
    <row r="19" spans="1:16" x14ac:dyDescent="0.25">
      <c r="A19" s="208"/>
      <c r="B19" s="1" t="s">
        <v>239</v>
      </c>
      <c r="C19" s="4">
        <f>C8</f>
        <v>0.10641</v>
      </c>
      <c r="D19" s="16">
        <f>ROUND(0.01659*J19+0.01659*L19+0*N19,5)</f>
        <v>1.5810000000000001E-2</v>
      </c>
      <c r="E19" s="16">
        <f>ROUND((0.05413*J19+0.04865*L19+0.03637*N19)*$J$18+(0.07964*J19+0.0531*L19+0.03761*N19)*$L$18,5)</f>
        <v>6.0080000000000001E-2</v>
      </c>
      <c r="F19" s="16">
        <v>-2.7799999999999999E-3</v>
      </c>
      <c r="G19" s="2">
        <f t="shared" si="0"/>
        <v>0.17952000000000001</v>
      </c>
      <c r="I19" t="s">
        <v>246</v>
      </c>
      <c r="J19" s="125">
        <v>0.84599999999999997</v>
      </c>
      <c r="K19" t="s">
        <v>247</v>
      </c>
      <c r="L19" s="125">
        <v>0.107</v>
      </c>
      <c r="M19" t="s">
        <v>248</v>
      </c>
      <c r="N19" s="125">
        <v>4.7E-2</v>
      </c>
    </row>
    <row r="20" spans="1:16" x14ac:dyDescent="0.25">
      <c r="A20" s="208"/>
      <c r="B20" s="1" t="s">
        <v>7</v>
      </c>
      <c r="C20" s="4">
        <f>C8</f>
        <v>0.10641</v>
      </c>
      <c r="D20" s="16">
        <v>0</v>
      </c>
      <c r="E20" s="16">
        <f>ROUND((0.02629*J20+0.02124*L20+0.01937*N20)*$J$18+(0.03622*J20+0.02297*L20+0.01986*N20)*$L$18,5)</f>
        <v>2.2839999999999999E-2</v>
      </c>
      <c r="F20" s="16">
        <v>-2.0300000000000001E-3</v>
      </c>
      <c r="G20" s="2">
        <f t="shared" si="0"/>
        <v>0.12722</v>
      </c>
      <c r="I20" t="s">
        <v>246</v>
      </c>
      <c r="J20" s="125">
        <v>0.2350000000000001</v>
      </c>
      <c r="K20" t="s">
        <v>247</v>
      </c>
      <c r="L20" s="125">
        <v>0.41</v>
      </c>
      <c r="M20" t="s">
        <v>248</v>
      </c>
      <c r="N20" s="125">
        <v>0.35499999999999998</v>
      </c>
    </row>
    <row r="21" spans="1:16" x14ac:dyDescent="0.25">
      <c r="A21" s="208"/>
      <c r="B21" s="1" t="s">
        <v>249</v>
      </c>
      <c r="C21" s="4">
        <f>C12</f>
        <v>0.10084</v>
      </c>
      <c r="D21" s="16">
        <v>0</v>
      </c>
      <c r="E21" s="16">
        <v>5.0400000000000002E-3</v>
      </c>
      <c r="F21" s="16">
        <v>-1.3500000000000001E-3</v>
      </c>
      <c r="G21" s="2">
        <f t="shared" si="0"/>
        <v>0.10453</v>
      </c>
    </row>
    <row r="22" spans="1:16" x14ac:dyDescent="0.25">
      <c r="A22" s="208"/>
      <c r="B22" s="1" t="s">
        <v>250</v>
      </c>
      <c r="C22" s="4">
        <f>'Basic Service Rates'!O30</f>
        <v>9.2179999999999998E-2</v>
      </c>
      <c r="D22" s="16">
        <v>0</v>
      </c>
      <c r="E22" s="16">
        <v>5.0400000000000002E-3</v>
      </c>
      <c r="F22" s="16">
        <v>-1.3500000000000001E-3</v>
      </c>
      <c r="G22" s="2">
        <f t="shared" si="0"/>
        <v>9.5869999999999997E-2</v>
      </c>
    </row>
    <row r="23" spans="1:16" x14ac:dyDescent="0.25">
      <c r="A23" s="208"/>
      <c r="B23" s="1" t="s">
        <v>251</v>
      </c>
      <c r="C23" s="4">
        <f>C8</f>
        <v>0.10641</v>
      </c>
      <c r="D23" s="16">
        <f>ROUND((0.05009*J23+0*L23)*J18+(0.10567*N23+0*P23)*L18,5)</f>
        <v>2.1909999999999999E-2</v>
      </c>
      <c r="E23" s="16">
        <f>ROUND((0.08576*J23+0.03089*L23)*J18+(0.16919*N23+0.03283*P23)*L18,5)</f>
        <v>5.7340000000000002E-2</v>
      </c>
      <c r="F23" s="16">
        <v>-2.63E-3</v>
      </c>
      <c r="G23" s="2">
        <f t="shared" si="0"/>
        <v>0.18303</v>
      </c>
      <c r="I23" t="s">
        <v>252</v>
      </c>
      <c r="J23" s="125">
        <f>(13*21)/(24*30)</f>
        <v>0.37916666666666665</v>
      </c>
      <c r="K23" t="s">
        <v>253</v>
      </c>
      <c r="L23" s="125">
        <f>1-J23</f>
        <v>0.62083333333333335</v>
      </c>
      <c r="M23" t="s">
        <v>254</v>
      </c>
      <c r="N23" s="125">
        <f>(9*21)/(24*30)</f>
        <v>0.26250000000000001</v>
      </c>
      <c r="O23" t="s">
        <v>255</v>
      </c>
      <c r="P23" s="125">
        <f>1-N23</f>
        <v>0.73750000000000004</v>
      </c>
    </row>
    <row r="24" spans="1:16" x14ac:dyDescent="0.25">
      <c r="A24" s="208"/>
      <c r="B24" s="1" t="s">
        <v>256</v>
      </c>
      <c r="C24" s="4">
        <f>'Basic Service Rates'!O29</f>
        <v>0.10084</v>
      </c>
      <c r="D24" s="16">
        <v>0</v>
      </c>
      <c r="E24" s="16">
        <v>6.96E-3</v>
      </c>
      <c r="F24" s="16">
        <v>-1.73E-3</v>
      </c>
      <c r="G24" s="2">
        <f t="shared" si="0"/>
        <v>0.10607</v>
      </c>
    </row>
    <row r="25" spans="1:16" x14ac:dyDescent="0.25">
      <c r="A25" s="208"/>
      <c r="B25" s="1" t="s">
        <v>257</v>
      </c>
      <c r="C25" s="4">
        <f>'Basic Service Rates'!O30</f>
        <v>9.2179999999999998E-2</v>
      </c>
      <c r="D25" s="16">
        <v>0</v>
      </c>
      <c r="E25" s="16">
        <v>6.96E-3</v>
      </c>
      <c r="F25" s="16">
        <v>-1.73E-3</v>
      </c>
      <c r="G25" s="2">
        <f t="shared" si="0"/>
        <v>9.7409999999999997E-2</v>
      </c>
    </row>
    <row r="26" spans="1:16" ht="15" customHeight="1" x14ac:dyDescent="0.25">
      <c r="A26" s="208" t="s">
        <v>67</v>
      </c>
      <c r="B26" s="1" t="s">
        <v>5</v>
      </c>
      <c r="C26" s="4">
        <f>C4</f>
        <v>0.10871</v>
      </c>
      <c r="D26" s="4">
        <v>2.298E-2</v>
      </c>
      <c r="E26" s="16">
        <v>6.0929999999999998E-2</v>
      </c>
      <c r="F26" s="16">
        <v>4.3600000000000002E-3</v>
      </c>
      <c r="G26" s="2">
        <f t="shared" si="0"/>
        <v>0.19698000000000002</v>
      </c>
    </row>
    <row r="27" spans="1:16" ht="15" customHeight="1" x14ac:dyDescent="0.25">
      <c r="A27" s="208"/>
      <c r="B27" s="1" t="s">
        <v>8</v>
      </c>
      <c r="C27" s="4">
        <f>C4</f>
        <v>0.10871</v>
      </c>
      <c r="D27" s="4">
        <v>2.298E-2</v>
      </c>
      <c r="E27" s="16">
        <v>6.0929999999999998E-2</v>
      </c>
      <c r="F27" s="16">
        <v>4.3600000000000002E-3</v>
      </c>
      <c r="G27" s="2">
        <f t="shared" si="0"/>
        <v>0.19698000000000002</v>
      </c>
    </row>
    <row r="28" spans="1:16" ht="15" customHeight="1" x14ac:dyDescent="0.25">
      <c r="A28" s="208"/>
      <c r="B28" s="1" t="s">
        <v>65</v>
      </c>
      <c r="C28" s="4">
        <f>C4</f>
        <v>0.10871</v>
      </c>
      <c r="D28" s="4">
        <v>2.1000000000000001E-2</v>
      </c>
      <c r="E28" s="16">
        <v>3.8899999999999997E-2</v>
      </c>
      <c r="F28" s="16">
        <v>4.8900000000000002E-3</v>
      </c>
      <c r="G28" s="2">
        <f t="shared" si="0"/>
        <v>0.17349999999999999</v>
      </c>
    </row>
    <row r="29" spans="1:16" ht="15" customHeight="1" x14ac:dyDescent="0.25">
      <c r="A29" s="208"/>
      <c r="B29" s="1" t="s">
        <v>12</v>
      </c>
      <c r="C29" s="4">
        <f>C4</f>
        <v>0.10871</v>
      </c>
      <c r="D29" s="4">
        <v>2.1000000000000001E-2</v>
      </c>
      <c r="E29" s="16">
        <v>3.8899999999999997E-2</v>
      </c>
      <c r="F29" s="16">
        <v>4.8900000000000002E-3</v>
      </c>
      <c r="G29" s="2">
        <f t="shared" si="0"/>
        <v>0.17349999999999999</v>
      </c>
    </row>
    <row r="30" spans="1:16" x14ac:dyDescent="0.25">
      <c r="A30" s="208"/>
      <c r="B30" s="1" t="s">
        <v>9</v>
      </c>
      <c r="C30" s="4">
        <f>'Basic Service Rates'!O30</f>
        <v>9.2179999999999998E-2</v>
      </c>
      <c r="D30" s="4">
        <v>0</v>
      </c>
      <c r="E30" s="16">
        <f>ROUND(0.01622*J30+0.01522*L30+0.01168*N30,5)</f>
        <v>1.345E-2</v>
      </c>
      <c r="F30" s="16">
        <v>5.8399999999999997E-3</v>
      </c>
      <c r="G30" s="2">
        <f t="shared" si="0"/>
        <v>0.11147</v>
      </c>
      <c r="I30" t="s">
        <v>241</v>
      </c>
      <c r="J30" s="125">
        <f>(((9*21)*8)+((5*21)*4))/(24*30*12)</f>
        <v>0.22361111111111112</v>
      </c>
      <c r="K30" t="s">
        <v>258</v>
      </c>
      <c r="L30" s="125">
        <f>1-J30-N30</f>
        <v>0.21388888888888891</v>
      </c>
      <c r="M30" t="s">
        <v>259</v>
      </c>
      <c r="N30" s="128">
        <f>(((9*21)+(24*9))*12)/(24*30*12)</f>
        <v>0.5625</v>
      </c>
    </row>
    <row r="31" spans="1:16" x14ac:dyDescent="0.25">
      <c r="A31" s="208"/>
      <c r="B31" s="1" t="s">
        <v>260</v>
      </c>
      <c r="C31" s="4">
        <f>C8</f>
        <v>0.10641</v>
      </c>
      <c r="D31" s="4">
        <v>0</v>
      </c>
      <c r="E31" s="16">
        <f>ROUND(0.0528*J31+0.04567*L31,5)</f>
        <v>4.7260000000000003E-2</v>
      </c>
      <c r="F31" s="16">
        <v>5.0499999999999998E-3</v>
      </c>
      <c r="G31" s="2">
        <f t="shared" si="0"/>
        <v>0.15872</v>
      </c>
      <c r="I31" t="s">
        <v>241</v>
      </c>
      <c r="J31" s="127">
        <f>J30</f>
        <v>0.22361111111111112</v>
      </c>
      <c r="K31" t="s">
        <v>242</v>
      </c>
      <c r="L31" s="127">
        <f>1-J31</f>
        <v>0.77638888888888891</v>
      </c>
    </row>
    <row r="32" spans="1:16" x14ac:dyDescent="0.25">
      <c r="A32" s="208"/>
      <c r="B32" s="1" t="s">
        <v>6</v>
      </c>
      <c r="C32" s="4">
        <f>C8</f>
        <v>0.10641</v>
      </c>
      <c r="D32" s="4">
        <v>2.3369999999999998E-2</v>
      </c>
      <c r="E32" s="16">
        <f>ROUND(0.04866*J32+0.01939*L32,5)</f>
        <v>3.1220000000000001E-2</v>
      </c>
      <c r="F32" s="16">
        <v>5.0299999999999997E-3</v>
      </c>
      <c r="G32" s="2">
        <f t="shared" si="0"/>
        <v>0.16603000000000001</v>
      </c>
      <c r="I32" t="s">
        <v>246</v>
      </c>
      <c r="J32" s="127">
        <v>0.40400000000000003</v>
      </c>
      <c r="K32" t="s">
        <v>247</v>
      </c>
      <c r="L32" s="127">
        <v>0.59599999999999997</v>
      </c>
    </row>
    <row r="33" spans="1:14" x14ac:dyDescent="0.25">
      <c r="A33" s="208"/>
      <c r="B33" s="1" t="s">
        <v>261</v>
      </c>
      <c r="C33" s="4">
        <f>C8</f>
        <v>0.10641</v>
      </c>
      <c r="D33" s="4">
        <v>3.023E-2</v>
      </c>
      <c r="E33" s="16">
        <f>ROUND(0.08395*J33+0.0321*L33,5)</f>
        <v>6.0199999999999997E-2</v>
      </c>
      <c r="F33" s="16">
        <v>5.0299999999999997E-3</v>
      </c>
      <c r="G33" s="2">
        <f t="shared" si="0"/>
        <v>0.20187000000000002</v>
      </c>
      <c r="I33" t="s">
        <v>246</v>
      </c>
      <c r="J33" s="127">
        <v>0.54200000000000004</v>
      </c>
      <c r="K33" t="s">
        <v>247</v>
      </c>
      <c r="L33" s="127">
        <v>0.45799999999999996</v>
      </c>
    </row>
    <row r="34" spans="1:14" x14ac:dyDescent="0.25">
      <c r="A34" s="208"/>
      <c r="B34" s="1" t="s">
        <v>262</v>
      </c>
      <c r="C34" s="4">
        <f>C8</f>
        <v>0.10641</v>
      </c>
      <c r="D34" s="4">
        <v>0</v>
      </c>
      <c r="E34" s="16">
        <f>ROUND(0.03096*J34+0.02407*L34,5)</f>
        <v>2.5610000000000001E-2</v>
      </c>
      <c r="F34" s="16">
        <v>5.0299999999999997E-3</v>
      </c>
      <c r="G34" s="2">
        <f t="shared" si="0"/>
        <v>0.13705000000000001</v>
      </c>
      <c r="I34" t="s">
        <v>241</v>
      </c>
      <c r="J34" s="127">
        <f>J31</f>
        <v>0.22361111111111112</v>
      </c>
      <c r="K34" t="s">
        <v>242</v>
      </c>
      <c r="L34" s="127">
        <f>L31</f>
        <v>0.77638888888888891</v>
      </c>
    </row>
    <row r="35" spans="1:14" x14ac:dyDescent="0.25">
      <c r="A35" s="208"/>
      <c r="B35" s="1" t="s">
        <v>7</v>
      </c>
      <c r="C35" s="4">
        <f>'Basic Service Rates'!O30</f>
        <v>9.2179999999999998E-2</v>
      </c>
      <c r="D35" s="4">
        <v>2.5100000000000001E-3</v>
      </c>
      <c r="E35" s="16">
        <f>ROUND(0.02298*J35+0.02015*L35+0.01488*N35,5)</f>
        <v>1.7819999999999999E-2</v>
      </c>
      <c r="F35" s="16">
        <v>5.5300000000000002E-3</v>
      </c>
      <c r="G35" s="2">
        <f t="shared" si="0"/>
        <v>0.11804000000000001</v>
      </c>
      <c r="I35" t="s">
        <v>241</v>
      </c>
      <c r="J35" s="125">
        <f>(((9*21)*8)+((5*21)*4))/(24*30*12)</f>
        <v>0.22361111111111112</v>
      </c>
      <c r="K35" t="s">
        <v>258</v>
      </c>
      <c r="L35" s="125">
        <f>1-J35-N35</f>
        <v>0.21388888888888891</v>
      </c>
      <c r="M35" t="s">
        <v>259</v>
      </c>
      <c r="N35" s="128">
        <f>(((9*21)+(24*9))*12)/(24*30*12)</f>
        <v>0.5625</v>
      </c>
    </row>
    <row r="36" spans="1:14" ht="15" customHeight="1" x14ac:dyDescent="0.25">
      <c r="A36" s="208" t="s">
        <v>69</v>
      </c>
      <c r="B36" s="1" t="s">
        <v>5</v>
      </c>
      <c r="C36" s="2">
        <f>'Basic Service Rates'!I20</f>
        <v>9.9699999999999997E-2</v>
      </c>
      <c r="D36" s="2">
        <v>2.5510000000000001E-2</v>
      </c>
      <c r="E36" s="2">
        <f>0.04543-0.00129+0.00124+0.00868-0.00038-0.00146+0.00471+0.00005+0.00277+0.00201</f>
        <v>6.1759999999999995E-2</v>
      </c>
      <c r="F36" s="2">
        <v>-2.0400000000000001E-3</v>
      </c>
      <c r="G36" s="2">
        <f t="shared" si="0"/>
        <v>0.18492999999999998</v>
      </c>
    </row>
    <row r="37" spans="1:14" x14ac:dyDescent="0.25">
      <c r="A37" s="208"/>
      <c r="B37" s="1" t="s">
        <v>8</v>
      </c>
      <c r="C37" s="2">
        <f>C36</f>
        <v>9.9699999999999997E-2</v>
      </c>
      <c r="D37" s="2">
        <v>2.5510000000000001E-2</v>
      </c>
      <c r="E37" s="2">
        <f>0.04514-0.00129+0.00124+0.00868-0.00038-0.00146+0.00471+0.00005+0.00277+0.00201</f>
        <v>6.1469999999999997E-2</v>
      </c>
      <c r="F37" s="2">
        <v>-2.0400000000000001E-3</v>
      </c>
      <c r="G37" s="2">
        <f t="shared" si="0"/>
        <v>0.18463999999999997</v>
      </c>
    </row>
    <row r="38" spans="1:14" x14ac:dyDescent="0.25">
      <c r="A38" s="208"/>
      <c r="B38" s="1" t="s">
        <v>65</v>
      </c>
      <c r="C38" s="4">
        <f>C36</f>
        <v>9.9699999999999997E-2</v>
      </c>
      <c r="D38" s="4">
        <v>2.3449999999999999E-2</v>
      </c>
      <c r="E38" s="4">
        <f>0.04262-0.00112+0.00102+0.00752-0.00033-0.00127+0.00408+0.00004+0.0024+0.00201</f>
        <v>5.6969999999999993E-2</v>
      </c>
      <c r="F38" s="2">
        <v>-2.0400000000000001E-3</v>
      </c>
      <c r="G38" s="2">
        <f t="shared" si="0"/>
        <v>0.17808000000000002</v>
      </c>
    </row>
    <row r="39" spans="1:14" x14ac:dyDescent="0.25">
      <c r="A39" s="208"/>
      <c r="B39" s="1" t="s">
        <v>12</v>
      </c>
      <c r="C39" s="4">
        <f>C36</f>
        <v>9.9699999999999997E-2</v>
      </c>
      <c r="D39" s="4">
        <v>2.3449999999999999E-2</v>
      </c>
      <c r="E39" s="4">
        <f>0.04277-0.00112+0.00102+0.00752-0.00033-0.00127+0.00408+0.00004+0.0024+0.00201</f>
        <v>5.7119999999999997E-2</v>
      </c>
      <c r="F39" s="2">
        <v>-2.0400000000000001E-3</v>
      </c>
      <c r="G39" s="2">
        <f t="shared" si="0"/>
        <v>0.17823</v>
      </c>
    </row>
    <row r="40" spans="1:14" x14ac:dyDescent="0.25">
      <c r="A40" s="208"/>
      <c r="B40" s="1">
        <v>23</v>
      </c>
      <c r="C40" s="4">
        <f>'Basic Service Rates'!I25</f>
        <v>0.10256999999999999</v>
      </c>
      <c r="D40" s="4">
        <v>1.9439999999999999E-2</v>
      </c>
      <c r="E40" s="4">
        <f>0.02545-0.00107+0.00083+0.00658-0.00029-0.00111+0.00357+0.00004+0.0021+0.00201</f>
        <v>3.8109999999999991E-2</v>
      </c>
      <c r="F40" s="2">
        <v>-2.0400000000000001E-3</v>
      </c>
      <c r="G40" s="2">
        <f t="shared" si="0"/>
        <v>0.15808</v>
      </c>
    </row>
    <row r="41" spans="1:14" x14ac:dyDescent="0.25">
      <c r="A41" s="208"/>
      <c r="B41" s="1">
        <v>24</v>
      </c>
      <c r="C41" s="4">
        <f>C40</f>
        <v>0.10256999999999999</v>
      </c>
      <c r="D41" s="4">
        <v>0</v>
      </c>
      <c r="E41" s="4">
        <f>0.0052-0.00107+0.00083+0.00658-0.00029-0.00111+0.00357+0.00004+0.0021+0.00201</f>
        <v>1.7860000000000001E-2</v>
      </c>
      <c r="F41" s="2">
        <v>-2.0400000000000001E-3</v>
      </c>
      <c r="G41" s="2">
        <f t="shared" si="0"/>
        <v>0.11839</v>
      </c>
    </row>
    <row r="42" spans="1:14" x14ac:dyDescent="0.25">
      <c r="A42" s="208"/>
      <c r="B42" s="1" t="s">
        <v>66</v>
      </c>
      <c r="C42" s="4">
        <f>C40</f>
        <v>0.10256999999999999</v>
      </c>
      <c r="D42" s="4">
        <v>0</v>
      </c>
      <c r="E42" s="4">
        <f>0.00178-0.00107+0.00083+0.00658-0.00029-0.00111+0.00357+0.00004+0.0021+0.00201</f>
        <v>1.444E-2</v>
      </c>
      <c r="F42" s="2">
        <v>-2.0400000000000001E-3</v>
      </c>
      <c r="G42" s="2">
        <f t="shared" si="0"/>
        <v>0.11496999999999999</v>
      </c>
    </row>
    <row r="43" spans="1:14" x14ac:dyDescent="0.25">
      <c r="A43" s="208"/>
      <c r="B43" s="1" t="s">
        <v>70</v>
      </c>
      <c r="C43" s="4">
        <f>C40</f>
        <v>0.10256999999999999</v>
      </c>
      <c r="D43" s="4">
        <v>0</v>
      </c>
      <c r="E43" s="16">
        <f>ROUND((0.00284*$J$43+0.00076*$L$43)-0.00107+0.00083+0.00658-0.00029-0.00111+0.00357+0.00004+0.0021+0.00201,5)</f>
        <v>1.391E-2</v>
      </c>
      <c r="F43" s="2">
        <v>-2.0400000000000001E-3</v>
      </c>
      <c r="G43" s="2">
        <f t="shared" si="0"/>
        <v>0.11444</v>
      </c>
      <c r="I43" t="s">
        <v>241</v>
      </c>
      <c r="J43" s="125">
        <f>((8*21)*12)/(24*30*12)</f>
        <v>0.23333333333333334</v>
      </c>
      <c r="K43" t="s">
        <v>242</v>
      </c>
      <c r="L43" s="127">
        <f>1-J43</f>
        <v>0.76666666666666661</v>
      </c>
    </row>
    <row r="44" spans="1:14" x14ac:dyDescent="0.25">
      <c r="A44" s="208"/>
      <c r="B44" s="1" t="s">
        <v>7</v>
      </c>
      <c r="C44" s="4">
        <f>'Basic Service Rates'!O31</f>
        <v>9.6100000000000005E-2</v>
      </c>
      <c r="D44" s="4">
        <v>0</v>
      </c>
      <c r="E44" s="16">
        <f>0.00178-0.00072+0.00081+0.00464-0.0002-0.00078+0.00252+0.00003+0.00148+0.00201</f>
        <v>1.157E-2</v>
      </c>
      <c r="F44" s="2">
        <v>-2.0400000000000001E-3</v>
      </c>
      <c r="G44" s="2">
        <f t="shared" si="0"/>
        <v>0.10563</v>
      </c>
    </row>
    <row r="45" spans="1:14" x14ac:dyDescent="0.25">
      <c r="A45" s="208"/>
      <c r="B45" s="1" t="s">
        <v>71</v>
      </c>
      <c r="C45" s="4">
        <f>C44</f>
        <v>9.6100000000000005E-2</v>
      </c>
      <c r="D45" s="4">
        <v>0</v>
      </c>
      <c r="E45" s="16">
        <f>ROUND((0.00267*$J$43+0.00076*$L$43)-0.00072+0.00081+0.00464-0.0002-0.00078+0.00252+0.00003+0.00148+0.00201,5)</f>
        <v>1.0999999999999999E-2</v>
      </c>
      <c r="F45" s="2">
        <v>-2.0400000000000001E-3</v>
      </c>
      <c r="G45" s="2">
        <f t="shared" si="0"/>
        <v>0.10506</v>
      </c>
    </row>
    <row r="46" spans="1:14" x14ac:dyDescent="0.25">
      <c r="A46" s="208"/>
      <c r="B46" s="1" t="s">
        <v>72</v>
      </c>
      <c r="C46" s="4">
        <f>C44</f>
        <v>9.6100000000000005E-2</v>
      </c>
      <c r="D46" s="4">
        <v>0</v>
      </c>
      <c r="E46" s="16">
        <f>ROUND((0.00257*$J$43+0.00076*$L$43)-0.00049+0.0004+0.00309-0.00013-0.00052+0.00168+0.00002+0.00099+0.00201,5)</f>
        <v>8.2299999999999995E-3</v>
      </c>
      <c r="F46" s="2">
        <v>-2.0400000000000001E-3</v>
      </c>
      <c r="G46" s="2">
        <f t="shared" si="0"/>
        <v>0.10229000000000001</v>
      </c>
    </row>
    <row r="47" spans="1:14" x14ac:dyDescent="0.25">
      <c r="A47" s="208"/>
      <c r="B47" s="1" t="s">
        <v>73</v>
      </c>
      <c r="C47" s="4">
        <f>C44</f>
        <v>9.6100000000000005E-2</v>
      </c>
      <c r="D47" s="4">
        <v>0</v>
      </c>
      <c r="E47" s="16">
        <f>ROUND((0.00257*$J$43+0.00076*$L$43)-0.00031+0.00026+0.00204-0.00009-0.00034+0.00111+0.00001+0.00065+0.00201,5)</f>
        <v>6.5199999999999998E-3</v>
      </c>
      <c r="F47" s="2">
        <v>-2.0400000000000001E-3</v>
      </c>
      <c r="G47" s="2">
        <f t="shared" si="0"/>
        <v>0.10058</v>
      </c>
    </row>
    <row r="48" spans="1:14" x14ac:dyDescent="0.25">
      <c r="A48" s="32"/>
    </row>
    <row r="49" spans="1:4" x14ac:dyDescent="0.25">
      <c r="A49" s="9" t="s">
        <v>74</v>
      </c>
    </row>
    <row r="50" spans="1:4" x14ac:dyDescent="0.25">
      <c r="A50" s="33" t="s">
        <v>295</v>
      </c>
    </row>
    <row r="51" spans="1:4" x14ac:dyDescent="0.25">
      <c r="A51" s="33"/>
    </row>
    <row r="52" spans="1:4" x14ac:dyDescent="0.25">
      <c r="A52" s="9" t="s">
        <v>17</v>
      </c>
    </row>
    <row r="53" spans="1:4" x14ac:dyDescent="0.25">
      <c r="A53" s="33" t="s">
        <v>83</v>
      </c>
      <c r="D53" s="10" t="s">
        <v>82</v>
      </c>
    </row>
    <row r="54" spans="1:4" x14ac:dyDescent="0.25">
      <c r="A54" s="33" t="s">
        <v>84</v>
      </c>
      <c r="D54" s="10" t="s">
        <v>85</v>
      </c>
    </row>
    <row r="55" spans="1:4" x14ac:dyDescent="0.25">
      <c r="A55" s="20" t="s">
        <v>48</v>
      </c>
      <c r="D55" s="10" t="s">
        <v>49</v>
      </c>
    </row>
    <row r="56" spans="1:4" x14ac:dyDescent="0.25">
      <c r="A56" s="33"/>
    </row>
    <row r="57" spans="1:4" x14ac:dyDescent="0.25">
      <c r="A57" s="18"/>
    </row>
  </sheetData>
  <sheetProtection password="C274" sheet="1" objects="1" scenarios="1"/>
  <mergeCells count="10">
    <mergeCell ref="A4:A13"/>
    <mergeCell ref="A14:A25"/>
    <mergeCell ref="A26:A35"/>
    <mergeCell ref="A36:A47"/>
    <mergeCell ref="A1:G1"/>
    <mergeCell ref="A2:A3"/>
    <mergeCell ref="B2:B3"/>
    <mergeCell ref="C2:C3"/>
    <mergeCell ref="D2:F2"/>
    <mergeCell ref="G2:G3"/>
  </mergeCells>
  <hyperlinks>
    <hyperlink ref="D53" r:id="rId1"/>
    <hyperlink ref="D54" r:id="rId2"/>
    <hyperlink ref="D55" r:id="rId3"/>
  </hyperlinks>
  <pageMargins left="0.7" right="0.7" top="0.75" bottom="0.75" header="0.3" footer="0.3"/>
  <pageSetup orientation="portrait" r:id="rId4"/>
  <ignoredErrors>
    <ignoredError sqref="C8 C10 C12 C14 C1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workbookViewId="0">
      <selection sqref="A1:F1"/>
    </sheetView>
  </sheetViews>
  <sheetFormatPr defaultRowHeight="15" x14ac:dyDescent="0.25"/>
  <cols>
    <col min="1" max="1" width="9.85546875" bestFit="1" customWidth="1"/>
    <col min="2" max="2" width="13" customWidth="1"/>
    <col min="3" max="3" width="12.5703125" bestFit="1" customWidth="1"/>
    <col min="4" max="4" width="11.5703125" bestFit="1" customWidth="1"/>
    <col min="5" max="5" width="11.5703125" customWidth="1"/>
    <col min="6" max="6" width="14.85546875" customWidth="1"/>
    <col min="7" max="7" width="3.140625" customWidth="1"/>
  </cols>
  <sheetData>
    <row r="1" spans="1:6" x14ac:dyDescent="0.25">
      <c r="A1" s="216" t="s">
        <v>51</v>
      </c>
      <c r="B1" s="217"/>
      <c r="C1" s="217"/>
      <c r="D1" s="217"/>
      <c r="E1" s="217"/>
      <c r="F1" s="217"/>
    </row>
    <row r="2" spans="1:6" ht="15" customHeight="1" x14ac:dyDescent="0.25">
      <c r="A2" s="213" t="s">
        <v>4</v>
      </c>
      <c r="B2" s="214" t="s">
        <v>0</v>
      </c>
      <c r="C2" s="215" t="s">
        <v>10</v>
      </c>
      <c r="D2" s="215"/>
      <c r="E2" s="215"/>
      <c r="F2" s="214" t="s">
        <v>76</v>
      </c>
    </row>
    <row r="3" spans="1:6" x14ac:dyDescent="0.25">
      <c r="A3" s="213"/>
      <c r="B3" s="214"/>
      <c r="C3" s="5" t="s">
        <v>1</v>
      </c>
      <c r="D3" s="5" t="s">
        <v>2</v>
      </c>
      <c r="E3" s="5" t="s">
        <v>3</v>
      </c>
      <c r="F3" s="214"/>
    </row>
    <row r="4" spans="1:6" x14ac:dyDescent="0.25">
      <c r="A4" s="1" t="s">
        <v>32</v>
      </c>
      <c r="B4" s="4">
        <f>'Basic Service Rates'!I3</f>
        <v>0.10547666666666666</v>
      </c>
      <c r="C4" s="4">
        <v>2.4809999999999999E-2</v>
      </c>
      <c r="D4" s="4">
        <v>9.8320000000000005E-2</v>
      </c>
      <c r="E4" s="4">
        <v>-3.2599999999999999E-3</v>
      </c>
      <c r="F4" s="19">
        <f t="shared" ref="F4:F10" si="0">B4+C4+D4+E4</f>
        <v>0.22534666666666667</v>
      </c>
    </row>
    <row r="5" spans="1:6" ht="14.45" x14ac:dyDescent="0.3">
      <c r="A5" s="1" t="s">
        <v>33</v>
      </c>
      <c r="B5" s="2">
        <f>'Basic Service Rates'!I3</f>
        <v>0.10547666666666666</v>
      </c>
      <c r="C5" s="4">
        <v>2.4809999999999999E-2</v>
      </c>
      <c r="D5" s="4">
        <v>9.8320000000000005E-2</v>
      </c>
      <c r="E5" s="4">
        <v>-3.2599999999999999E-3</v>
      </c>
      <c r="F5" s="19">
        <f t="shared" si="0"/>
        <v>0.22534666666666667</v>
      </c>
    </row>
    <row r="6" spans="1:6" ht="14.45" x14ac:dyDescent="0.3">
      <c r="A6" s="1" t="s">
        <v>34</v>
      </c>
      <c r="B6" s="4">
        <f>'Basic Service Rates'!I7</f>
        <v>0.10547666666666666</v>
      </c>
      <c r="C6" s="4">
        <v>2.0639999999999999E-2</v>
      </c>
      <c r="D6" s="4">
        <v>9.4140000000000001E-2</v>
      </c>
      <c r="E6" s="4">
        <v>-2.5999999999999999E-3</v>
      </c>
      <c r="F6" s="19">
        <f t="shared" si="0"/>
        <v>0.21765666666666666</v>
      </c>
    </row>
    <row r="7" spans="1:6" ht="14.45" x14ac:dyDescent="0.3">
      <c r="A7" s="1" t="s">
        <v>35</v>
      </c>
      <c r="B7" s="4">
        <f>'Basic Service Rates'!I11</f>
        <v>9.4323333333333328E-2</v>
      </c>
      <c r="C7" s="4">
        <v>2.0639999999999999E-2</v>
      </c>
      <c r="D7" s="16">
        <v>3.8640000000000001E-2</v>
      </c>
      <c r="E7" s="4">
        <v>-2.5999999999999999E-3</v>
      </c>
      <c r="F7" s="19">
        <f t="shared" si="0"/>
        <v>0.15100333333333335</v>
      </c>
    </row>
    <row r="8" spans="1:6" ht="14.45" x14ac:dyDescent="0.3">
      <c r="A8" s="1" t="s">
        <v>36</v>
      </c>
      <c r="B8" s="4">
        <f>'Basic Service Rates'!O4</f>
        <v>7.5405555555555573E-2</v>
      </c>
      <c r="C8" s="4">
        <v>1.891E-2</v>
      </c>
      <c r="D8" s="16">
        <f>0.02551*0.38+0.01079*0.62</f>
        <v>1.6383599999999998E-2</v>
      </c>
      <c r="E8" s="4">
        <v>-1.6199999999999999E-3</v>
      </c>
      <c r="F8" s="19">
        <f t="shared" si="0"/>
        <v>0.10907915555555557</v>
      </c>
    </row>
    <row r="9" spans="1:6" ht="14.45" x14ac:dyDescent="0.3">
      <c r="A9" s="1" t="s">
        <v>37</v>
      </c>
      <c r="B9" s="4">
        <f>'Basic Service Rates'!I11</f>
        <v>9.4323333333333328E-2</v>
      </c>
      <c r="C9" s="4">
        <v>2.0639999999999999E-2</v>
      </c>
      <c r="D9" s="16">
        <f>0.02549*0.057+0.01774*0.943</f>
        <v>1.818175E-2</v>
      </c>
      <c r="E9" s="4">
        <v>-2.5999999999999999E-3</v>
      </c>
      <c r="F9" s="19">
        <f t="shared" si="0"/>
        <v>0.13054508333333334</v>
      </c>
    </row>
    <row r="10" spans="1:6" x14ac:dyDescent="0.25">
      <c r="A10" s="1" t="s">
        <v>38</v>
      </c>
      <c r="B10" s="4">
        <f>'Basic Service Rates'!I11</f>
        <v>9.4323333333333328E-2</v>
      </c>
      <c r="C10" s="4">
        <v>2.0639999999999999E-2</v>
      </c>
      <c r="D10" s="16">
        <v>7.4660000000000004E-2</v>
      </c>
      <c r="E10" s="4">
        <v>-2.5999999999999999E-3</v>
      </c>
      <c r="F10" s="19">
        <f t="shared" si="0"/>
        <v>0.18702333333333335</v>
      </c>
    </row>
    <row r="11" spans="1:6" x14ac:dyDescent="0.25">
      <c r="A11" s="7"/>
      <c r="B11" s="26"/>
      <c r="C11" s="26"/>
      <c r="D11" s="11"/>
      <c r="E11" s="26"/>
      <c r="F11" s="26"/>
    </row>
    <row r="12" spans="1:6" x14ac:dyDescent="0.25">
      <c r="A12" s="9" t="s">
        <v>74</v>
      </c>
      <c r="B12" s="26"/>
      <c r="C12" s="26"/>
      <c r="D12" s="11"/>
      <c r="E12" s="26"/>
      <c r="F12" s="26"/>
    </row>
    <row r="13" spans="1:6" x14ac:dyDescent="0.25">
      <c r="A13" s="30" t="s">
        <v>86</v>
      </c>
      <c r="B13" s="26"/>
      <c r="C13" s="26"/>
      <c r="D13" s="11"/>
      <c r="E13" s="26"/>
      <c r="F13" s="26"/>
    </row>
    <row r="15" spans="1:6" ht="14.45" x14ac:dyDescent="0.3">
      <c r="A15" s="9" t="s">
        <v>17</v>
      </c>
    </row>
    <row r="16" spans="1:6" ht="14.45" x14ac:dyDescent="0.3">
      <c r="A16" s="20" t="s">
        <v>39</v>
      </c>
      <c r="C16" t="s">
        <v>50</v>
      </c>
    </row>
    <row r="17" spans="1:3" ht="14.45" x14ac:dyDescent="0.3">
      <c r="A17" s="20" t="s">
        <v>48</v>
      </c>
      <c r="C17" s="10" t="s">
        <v>49</v>
      </c>
    </row>
  </sheetData>
  <sheetProtection password="C274" sheet="1" objects="1" scenarios="1"/>
  <mergeCells count="5">
    <mergeCell ref="A1:F1"/>
    <mergeCell ref="A2:A3"/>
    <mergeCell ref="B2:B3"/>
    <mergeCell ref="C2:E2"/>
    <mergeCell ref="F2:F3"/>
  </mergeCells>
  <hyperlinks>
    <hyperlink ref="C17" r:id="rId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pane ySplit="1" topLeftCell="A5" activePane="bottomLeft" state="frozen"/>
      <selection pane="bottomLeft" activeCell="I9" sqref="I9"/>
    </sheetView>
  </sheetViews>
  <sheetFormatPr defaultRowHeight="15" x14ac:dyDescent="0.25"/>
  <cols>
    <col min="1" max="1" width="11.42578125" customWidth="1"/>
    <col min="2" max="2" width="15.28515625" customWidth="1"/>
    <col min="3" max="3" width="19.85546875" customWidth="1"/>
    <col min="4" max="4" width="11" customWidth="1"/>
    <col min="5" max="6" width="15.28515625" customWidth="1"/>
    <col min="7" max="7" width="12.140625" customWidth="1"/>
    <col min="8" max="8" width="10.85546875" customWidth="1"/>
    <col min="9" max="9" width="15" customWidth="1"/>
  </cols>
  <sheetData>
    <row r="1" spans="1:9" s="3" customFormat="1" ht="30" x14ac:dyDescent="0.25">
      <c r="A1" s="116" t="s">
        <v>189</v>
      </c>
      <c r="B1" s="116" t="s">
        <v>190</v>
      </c>
      <c r="C1" s="116" t="s">
        <v>64</v>
      </c>
      <c r="D1" s="116" t="s">
        <v>4</v>
      </c>
      <c r="E1" s="116" t="s">
        <v>0</v>
      </c>
      <c r="F1" s="116" t="s">
        <v>1</v>
      </c>
      <c r="G1" s="116" t="s">
        <v>2</v>
      </c>
      <c r="H1" s="116" t="s">
        <v>3</v>
      </c>
      <c r="I1" s="116" t="s">
        <v>76</v>
      </c>
    </row>
    <row r="2" spans="1:9" x14ac:dyDescent="0.25">
      <c r="A2" t="s">
        <v>157</v>
      </c>
      <c r="B2" t="str">
        <f t="shared" ref="B2:B62" si="0">C2&amp;D2</f>
        <v>UnitilFitchRD-1</v>
      </c>
      <c r="C2" t="s">
        <v>176</v>
      </c>
      <c r="D2" t="s">
        <v>32</v>
      </c>
      <c r="E2">
        <v>0.10547666666666666</v>
      </c>
      <c r="F2">
        <v>2.4809999999999999E-2</v>
      </c>
      <c r="G2">
        <v>9.8320000000000005E-2</v>
      </c>
      <c r="H2">
        <v>-3.2599999999999999E-3</v>
      </c>
      <c r="I2">
        <v>0.22534666666666667</v>
      </c>
    </row>
    <row r="3" spans="1:9" x14ac:dyDescent="0.25">
      <c r="A3" t="s">
        <v>157</v>
      </c>
      <c r="B3" t="str">
        <f t="shared" si="0"/>
        <v>UnitilFitchRD-2</v>
      </c>
      <c r="C3" t="s">
        <v>176</v>
      </c>
      <c r="D3" t="s">
        <v>33</v>
      </c>
      <c r="E3">
        <v>0.10547666666666666</v>
      </c>
      <c r="F3">
        <v>2.4809999999999999E-2</v>
      </c>
      <c r="G3">
        <v>9.8320000000000005E-2</v>
      </c>
      <c r="H3">
        <v>-3.2599999999999999E-3</v>
      </c>
      <c r="I3">
        <v>0.22534666666666667</v>
      </c>
    </row>
    <row r="4" spans="1:9" x14ac:dyDescent="0.25">
      <c r="A4" t="s">
        <v>157</v>
      </c>
      <c r="B4" t="str">
        <f t="shared" si="0"/>
        <v>UnitilFitchGD-1</v>
      </c>
      <c r="C4" t="s">
        <v>176</v>
      </c>
      <c r="D4" t="s">
        <v>34</v>
      </c>
      <c r="E4">
        <v>0.10547666666666666</v>
      </c>
      <c r="F4">
        <v>2.0639999999999999E-2</v>
      </c>
      <c r="G4">
        <v>9.4140000000000001E-2</v>
      </c>
      <c r="H4">
        <v>-2.5999999999999999E-3</v>
      </c>
      <c r="I4">
        <v>0.21765666666666666</v>
      </c>
    </row>
    <row r="5" spans="1:9" x14ac:dyDescent="0.25">
      <c r="A5" t="s">
        <v>157</v>
      </c>
      <c r="B5" t="str">
        <f t="shared" si="0"/>
        <v>UnitilFitchGD-2</v>
      </c>
      <c r="C5" t="s">
        <v>176</v>
      </c>
      <c r="D5" t="s">
        <v>35</v>
      </c>
      <c r="E5">
        <v>9.4323333333333328E-2</v>
      </c>
      <c r="F5">
        <v>2.0639999999999999E-2</v>
      </c>
      <c r="G5">
        <v>3.8640000000000001E-2</v>
      </c>
      <c r="H5">
        <v>-2.5999999999999999E-3</v>
      </c>
      <c r="I5">
        <v>0.15100333333333335</v>
      </c>
    </row>
    <row r="6" spans="1:9" x14ac:dyDescent="0.25">
      <c r="A6" t="s">
        <v>157</v>
      </c>
      <c r="B6" t="str">
        <f t="shared" si="0"/>
        <v>UnitilFitchGD-3</v>
      </c>
      <c r="C6" t="s">
        <v>176</v>
      </c>
      <c r="D6" t="s">
        <v>36</v>
      </c>
      <c r="E6">
        <v>7.5405555555555573E-2</v>
      </c>
      <c r="F6">
        <v>1.891E-2</v>
      </c>
      <c r="G6">
        <v>1.6383599999999998E-2</v>
      </c>
      <c r="H6">
        <v>-1.6199999999999999E-3</v>
      </c>
      <c r="I6">
        <v>0.10907915555555557</v>
      </c>
    </row>
    <row r="7" spans="1:9" x14ac:dyDescent="0.25">
      <c r="A7" t="s">
        <v>157</v>
      </c>
      <c r="B7" t="str">
        <f t="shared" si="0"/>
        <v>UnitilFitchGD-4</v>
      </c>
      <c r="C7" t="s">
        <v>176</v>
      </c>
      <c r="D7" t="s">
        <v>37</v>
      </c>
      <c r="E7">
        <v>9.4323333333333328E-2</v>
      </c>
      <c r="F7">
        <v>2.0639999999999999E-2</v>
      </c>
      <c r="G7">
        <v>1.818175E-2</v>
      </c>
      <c r="H7">
        <v>-2.5999999999999999E-3</v>
      </c>
      <c r="I7">
        <v>0.13054508333333334</v>
      </c>
    </row>
    <row r="8" spans="1:9" x14ac:dyDescent="0.25">
      <c r="A8" t="s">
        <v>157</v>
      </c>
      <c r="B8" t="str">
        <f t="shared" si="0"/>
        <v>UnitilFitchGD-5</v>
      </c>
      <c r="C8" t="s">
        <v>176</v>
      </c>
      <c r="D8" t="s">
        <v>38</v>
      </c>
      <c r="E8">
        <v>9.4323333333333328E-2</v>
      </c>
      <c r="F8">
        <v>2.0639999999999999E-2</v>
      </c>
      <c r="G8">
        <v>7.4660000000000004E-2</v>
      </c>
      <c r="H8">
        <v>-2.5999999999999999E-3</v>
      </c>
      <c r="I8">
        <v>0.18702333333333335</v>
      </c>
    </row>
    <row r="9" spans="1:9" x14ac:dyDescent="0.25">
      <c r="A9" t="s">
        <v>172</v>
      </c>
      <c r="B9" t="str">
        <f t="shared" si="0"/>
        <v>MassElectricR-1</v>
      </c>
      <c r="C9" t="s">
        <v>174</v>
      </c>
      <c r="D9" t="s">
        <v>5</v>
      </c>
      <c r="E9">
        <v>0.10772</v>
      </c>
      <c r="F9">
        <v>3.0179999999999998E-2</v>
      </c>
      <c r="G9">
        <v>6.0760000000000002E-2</v>
      </c>
      <c r="H9">
        <v>3.8999999999999999E-4</v>
      </c>
      <c r="I9">
        <v>0.19905</v>
      </c>
    </row>
    <row r="10" spans="1:9" x14ac:dyDescent="0.25">
      <c r="A10" t="s">
        <v>172</v>
      </c>
      <c r="B10" t="str">
        <f t="shared" si="0"/>
        <v>MassElectricR-2</v>
      </c>
      <c r="C10" t="s">
        <v>174</v>
      </c>
      <c r="D10" t="s">
        <v>8</v>
      </c>
      <c r="E10">
        <v>0.10772</v>
      </c>
      <c r="F10">
        <v>3.0179999999999998E-2</v>
      </c>
      <c r="G10">
        <v>6.0760000000000002E-2</v>
      </c>
      <c r="H10">
        <v>3.8999999999999999E-4</v>
      </c>
      <c r="I10">
        <v>0.19905</v>
      </c>
    </row>
    <row r="11" spans="1:9" x14ac:dyDescent="0.25">
      <c r="A11" t="s">
        <v>172</v>
      </c>
      <c r="B11" t="str">
        <f t="shared" si="0"/>
        <v>MassElectricR-4</v>
      </c>
      <c r="C11" t="s">
        <v>174</v>
      </c>
      <c r="D11" t="s">
        <v>12</v>
      </c>
      <c r="E11">
        <v>0.10772</v>
      </c>
      <c r="F11">
        <v>2.6380000000000001E-2</v>
      </c>
      <c r="G11">
        <v>7.3719999999999994E-2</v>
      </c>
      <c r="H11">
        <v>6.6E-4</v>
      </c>
      <c r="I11">
        <v>0.20848</v>
      </c>
    </row>
    <row r="12" spans="1:9" x14ac:dyDescent="0.25">
      <c r="A12" t="s">
        <v>172</v>
      </c>
      <c r="B12" t="str">
        <f t="shared" si="0"/>
        <v>MassElectricG-1</v>
      </c>
      <c r="C12" t="s">
        <v>174</v>
      </c>
      <c r="D12" t="s">
        <v>6</v>
      </c>
      <c r="E12">
        <v>0.10137</v>
      </c>
      <c r="F12">
        <v>2.3140000000000001E-2</v>
      </c>
      <c r="G12">
        <v>5.2720000000000003E-2</v>
      </c>
      <c r="H12">
        <v>3.8000000000000002E-4</v>
      </c>
      <c r="I12">
        <v>0.17760999999999999</v>
      </c>
    </row>
    <row r="13" spans="1:9" x14ac:dyDescent="0.25">
      <c r="A13" t="s">
        <v>172</v>
      </c>
      <c r="B13" t="str">
        <f t="shared" si="0"/>
        <v>MassElectricG-2NEMA</v>
      </c>
      <c r="C13" t="s">
        <v>174</v>
      </c>
      <c r="D13" t="s">
        <v>233</v>
      </c>
      <c r="E13">
        <v>9.8309999999999995E-2</v>
      </c>
      <c r="F13">
        <v>2.2370000000000001E-2</v>
      </c>
      <c r="G13">
        <v>1.6549999999999999E-2</v>
      </c>
      <c r="H13">
        <v>3.8000000000000002E-4</v>
      </c>
      <c r="I13">
        <v>0.13760999999999998</v>
      </c>
    </row>
    <row r="14" spans="1:9" x14ac:dyDescent="0.25">
      <c r="A14" t="s">
        <v>172</v>
      </c>
      <c r="B14" t="str">
        <f t="shared" si="0"/>
        <v>MassElectricG-2WCMA</v>
      </c>
      <c r="C14" t="s">
        <v>174</v>
      </c>
      <c r="D14" t="s">
        <v>287</v>
      </c>
      <c r="E14">
        <v>9.2310000000000003E-2</v>
      </c>
      <c r="F14">
        <v>2.2370000000000001E-2</v>
      </c>
      <c r="G14">
        <v>1.6549999999999999E-2</v>
      </c>
      <c r="H14">
        <v>3.8000000000000002E-4</v>
      </c>
      <c r="I14">
        <v>0.13161</v>
      </c>
    </row>
    <row r="15" spans="1:9" x14ac:dyDescent="0.25">
      <c r="A15" t="s">
        <v>172</v>
      </c>
      <c r="B15" t="str">
        <f t="shared" si="0"/>
        <v>MassElectricG-2SEMA</v>
      </c>
      <c r="C15" t="s">
        <v>174</v>
      </c>
      <c r="D15" t="s">
        <v>234</v>
      </c>
      <c r="E15">
        <v>9.332E-2</v>
      </c>
      <c r="F15">
        <v>2.2370000000000001E-2</v>
      </c>
      <c r="G15">
        <v>1.6549999999999999E-2</v>
      </c>
      <c r="H15">
        <v>3.8000000000000002E-4</v>
      </c>
      <c r="I15">
        <v>0.13261999999999999</v>
      </c>
    </row>
    <row r="16" spans="1:9" x14ac:dyDescent="0.25">
      <c r="A16" t="s">
        <v>172</v>
      </c>
      <c r="B16" t="str">
        <f t="shared" si="0"/>
        <v>MassElectricG-3NEMA</v>
      </c>
      <c r="C16" t="s">
        <v>174</v>
      </c>
      <c r="D16" t="s">
        <v>235</v>
      </c>
      <c r="E16">
        <v>9.8309999999999995E-2</v>
      </c>
      <c r="F16">
        <v>2.0760000000000001E-2</v>
      </c>
      <c r="G16">
        <v>1.14E-2</v>
      </c>
      <c r="H16">
        <v>4.4000000000000002E-4</v>
      </c>
      <c r="I16">
        <v>0.13091</v>
      </c>
    </row>
    <row r="17" spans="1:9" x14ac:dyDescent="0.25">
      <c r="A17" t="s">
        <v>172</v>
      </c>
      <c r="B17" t="str">
        <f t="shared" si="0"/>
        <v>MassElectricG-3WCMA</v>
      </c>
      <c r="C17" t="s">
        <v>174</v>
      </c>
      <c r="D17" t="s">
        <v>236</v>
      </c>
      <c r="E17">
        <v>9.2310000000000003E-2</v>
      </c>
      <c r="F17">
        <v>2.0760000000000001E-2</v>
      </c>
      <c r="G17">
        <v>1.14E-2</v>
      </c>
      <c r="H17">
        <v>4.4000000000000002E-4</v>
      </c>
      <c r="I17">
        <v>0.12490999999999999</v>
      </c>
    </row>
    <row r="18" spans="1:9" x14ac:dyDescent="0.25">
      <c r="A18" t="s">
        <v>172</v>
      </c>
      <c r="B18" t="str">
        <f t="shared" si="0"/>
        <v>MassElectricG-3SEMA</v>
      </c>
      <c r="C18" t="s">
        <v>174</v>
      </c>
      <c r="D18" t="s">
        <v>237</v>
      </c>
      <c r="E18">
        <v>9.332E-2</v>
      </c>
      <c r="F18">
        <v>2.0760000000000001E-2</v>
      </c>
      <c r="G18">
        <v>1.14E-2</v>
      </c>
      <c r="H18">
        <v>4.4000000000000002E-4</v>
      </c>
      <c r="I18">
        <v>0.12592</v>
      </c>
    </row>
    <row r="19" spans="1:9" x14ac:dyDescent="0.25">
      <c r="A19" t="s">
        <v>172</v>
      </c>
      <c r="B19" t="str">
        <f t="shared" si="0"/>
        <v>NantucketElectricR-1</v>
      </c>
      <c r="C19" t="s">
        <v>175</v>
      </c>
      <c r="D19" t="s">
        <v>5</v>
      </c>
      <c r="E19">
        <v>0.10772</v>
      </c>
      <c r="F19">
        <v>3.0179999999999998E-2</v>
      </c>
      <c r="G19">
        <v>6.0760000000000002E-2</v>
      </c>
      <c r="H19">
        <v>3.8999999999999999E-4</v>
      </c>
      <c r="I19">
        <v>0.19905</v>
      </c>
    </row>
    <row r="20" spans="1:9" x14ac:dyDescent="0.25">
      <c r="A20" t="s">
        <v>172</v>
      </c>
      <c r="B20" t="str">
        <f t="shared" si="0"/>
        <v>NantucketElectricR-2</v>
      </c>
      <c r="C20" t="s">
        <v>175</v>
      </c>
      <c r="D20" t="s">
        <v>8</v>
      </c>
      <c r="E20">
        <v>0.10772</v>
      </c>
      <c r="F20">
        <v>3.0179999999999998E-2</v>
      </c>
      <c r="G20">
        <v>6.0760000000000002E-2</v>
      </c>
      <c r="H20">
        <v>3.8999999999999999E-4</v>
      </c>
      <c r="I20">
        <v>0.19905</v>
      </c>
    </row>
    <row r="21" spans="1:9" x14ac:dyDescent="0.25">
      <c r="A21" t="s">
        <v>172</v>
      </c>
      <c r="B21" t="str">
        <f t="shared" si="0"/>
        <v>NantucketElectricR-4</v>
      </c>
      <c r="C21" t="s">
        <v>175</v>
      </c>
      <c r="D21" t="s">
        <v>12</v>
      </c>
      <c r="E21">
        <v>0.10772</v>
      </c>
      <c r="F21">
        <v>2.6380000000000001E-2</v>
      </c>
      <c r="G21">
        <v>7.3719999999999994E-2</v>
      </c>
      <c r="H21">
        <v>6.6E-4</v>
      </c>
      <c r="I21">
        <v>0.20848</v>
      </c>
    </row>
    <row r="22" spans="1:9" x14ac:dyDescent="0.25">
      <c r="A22" t="s">
        <v>172</v>
      </c>
      <c r="B22" t="str">
        <f t="shared" si="0"/>
        <v>NantucketElectricG-1</v>
      </c>
      <c r="C22" t="s">
        <v>175</v>
      </c>
      <c r="D22" t="s">
        <v>6</v>
      </c>
      <c r="E22">
        <v>0.10137</v>
      </c>
      <c r="F22">
        <v>2.3140000000000001E-2</v>
      </c>
      <c r="G22">
        <v>5.2720000000000003E-2</v>
      </c>
      <c r="H22">
        <v>3.8000000000000002E-4</v>
      </c>
      <c r="I22">
        <v>0.17760999999999999</v>
      </c>
    </row>
    <row r="23" spans="1:9" x14ac:dyDescent="0.25">
      <c r="A23" t="s">
        <v>172</v>
      </c>
      <c r="B23" t="str">
        <f t="shared" si="0"/>
        <v>NantucketElectricG-2</v>
      </c>
      <c r="C23" t="s">
        <v>175</v>
      </c>
      <c r="D23" t="s">
        <v>7</v>
      </c>
      <c r="E23">
        <v>9.332E-2</v>
      </c>
      <c r="F23">
        <v>2.2370000000000001E-2</v>
      </c>
      <c r="G23">
        <v>1.6549999999999999E-2</v>
      </c>
      <c r="H23">
        <v>3.8000000000000002E-4</v>
      </c>
      <c r="I23">
        <v>0.13261999999999999</v>
      </c>
    </row>
    <row r="24" spans="1:9" x14ac:dyDescent="0.25">
      <c r="A24" t="s">
        <v>172</v>
      </c>
      <c r="B24" t="str">
        <f t="shared" si="0"/>
        <v>NantucketElectricG-3</v>
      </c>
      <c r="C24" t="s">
        <v>175</v>
      </c>
      <c r="D24" t="s">
        <v>9</v>
      </c>
      <c r="E24">
        <v>9.332E-2</v>
      </c>
      <c r="F24">
        <v>2.0760000000000001E-2</v>
      </c>
      <c r="G24">
        <v>1.14E-2</v>
      </c>
      <c r="H24">
        <v>4.4000000000000002E-4</v>
      </c>
      <c r="I24">
        <v>0.12592</v>
      </c>
    </row>
    <row r="25" spans="1:9" x14ac:dyDescent="0.25">
      <c r="A25" t="s">
        <v>173</v>
      </c>
      <c r="B25" t="str">
        <f t="shared" si="0"/>
        <v>CambridgeR-1</v>
      </c>
      <c r="C25" t="s">
        <v>26</v>
      </c>
      <c r="D25" t="s">
        <v>5</v>
      </c>
      <c r="E25">
        <v>0.10871</v>
      </c>
      <c r="F25">
        <v>3.134E-2</v>
      </c>
      <c r="G25">
        <v>5.2679999999999998E-2</v>
      </c>
      <c r="H25">
        <v>-5.3899999999999998E-3</v>
      </c>
      <c r="I25">
        <v>0.18734000000000001</v>
      </c>
    </row>
    <row r="26" spans="1:9" x14ac:dyDescent="0.25">
      <c r="A26" t="s">
        <v>173</v>
      </c>
      <c r="B26" t="str">
        <f t="shared" si="0"/>
        <v>CambridgeR-2</v>
      </c>
      <c r="C26" t="s">
        <v>26</v>
      </c>
      <c r="D26" t="s">
        <v>8</v>
      </c>
      <c r="E26">
        <v>0.10871</v>
      </c>
      <c r="F26">
        <v>3.134E-2</v>
      </c>
      <c r="G26">
        <v>5.2679999999999998E-2</v>
      </c>
      <c r="H26">
        <v>-5.3899999999999998E-3</v>
      </c>
      <c r="I26">
        <v>0.18734000000000001</v>
      </c>
    </row>
    <row r="27" spans="1:9" x14ac:dyDescent="0.25">
      <c r="A27" t="s">
        <v>173</v>
      </c>
      <c r="B27" t="str">
        <f t="shared" si="0"/>
        <v>CambridgeR-3</v>
      </c>
      <c r="C27" t="s">
        <v>26</v>
      </c>
      <c r="D27" t="s">
        <v>65</v>
      </c>
      <c r="E27">
        <v>0.10871</v>
      </c>
      <c r="F27">
        <v>3.6859999999999997E-2</v>
      </c>
      <c r="G27">
        <v>5.7680000000000002E-2</v>
      </c>
      <c r="H27">
        <v>-5.0500000000000007E-3</v>
      </c>
      <c r="I27">
        <v>0.19820000000000002</v>
      </c>
    </row>
    <row r="28" spans="1:9" x14ac:dyDescent="0.25">
      <c r="A28" t="s">
        <v>173</v>
      </c>
      <c r="B28" t="str">
        <f t="shared" si="0"/>
        <v>CambridgeR-4</v>
      </c>
      <c r="C28" t="s">
        <v>26</v>
      </c>
      <c r="D28" t="s">
        <v>12</v>
      </c>
      <c r="E28">
        <v>0.10871</v>
      </c>
      <c r="F28">
        <v>3.6859999999999997E-2</v>
      </c>
      <c r="G28">
        <v>5.7680000000000002E-2</v>
      </c>
      <c r="H28">
        <v>-5.0500000000000007E-3</v>
      </c>
      <c r="I28">
        <v>0.19820000000000002</v>
      </c>
    </row>
    <row r="29" spans="1:9" x14ac:dyDescent="0.25">
      <c r="A29" t="s">
        <v>173</v>
      </c>
      <c r="B29" t="str">
        <f t="shared" si="0"/>
        <v>CambridgeG-1D</v>
      </c>
      <c r="C29" t="s">
        <v>26</v>
      </c>
      <c r="D29" t="s">
        <v>239</v>
      </c>
      <c r="E29">
        <v>0.10641</v>
      </c>
      <c r="F29">
        <v>0</v>
      </c>
      <c r="G29">
        <v>1.9970000000000002E-2</v>
      </c>
      <c r="H29">
        <v>-3.9500000000000004E-3</v>
      </c>
      <c r="I29">
        <v>0.12243</v>
      </c>
    </row>
    <row r="30" spans="1:9" x14ac:dyDescent="0.25">
      <c r="A30" t="s">
        <v>173</v>
      </c>
      <c r="B30" t="str">
        <f t="shared" si="0"/>
        <v>CambridgeG-1ND</v>
      </c>
      <c r="C30" t="s">
        <v>26</v>
      </c>
      <c r="D30" t="s">
        <v>240</v>
      </c>
      <c r="E30">
        <v>0.10641</v>
      </c>
      <c r="F30">
        <v>2.938E-2</v>
      </c>
      <c r="G30">
        <v>4.4879999999999996E-2</v>
      </c>
      <c r="H30">
        <v>-4.5500000000000002E-3</v>
      </c>
      <c r="I30">
        <v>0.17612</v>
      </c>
    </row>
    <row r="31" spans="1:9" x14ac:dyDescent="0.25">
      <c r="A31" t="s">
        <v>173</v>
      </c>
      <c r="B31" t="str">
        <f t="shared" si="0"/>
        <v>CambridgeG-6</v>
      </c>
      <c r="C31" t="s">
        <v>26</v>
      </c>
      <c r="D31" t="s">
        <v>238</v>
      </c>
      <c r="E31">
        <v>0.10641</v>
      </c>
      <c r="F31">
        <v>2.2285083333333334E-2</v>
      </c>
      <c r="G31">
        <v>4.3589999999999997E-2</v>
      </c>
      <c r="H31">
        <v>-4.5500000000000002E-3</v>
      </c>
      <c r="I31">
        <v>0.16773508333333334</v>
      </c>
    </row>
    <row r="32" spans="1:9" x14ac:dyDescent="0.25">
      <c r="A32" t="s">
        <v>173</v>
      </c>
      <c r="B32" t="str">
        <f t="shared" si="0"/>
        <v>CambridgeG-4</v>
      </c>
      <c r="C32" t="s">
        <v>26</v>
      </c>
      <c r="D32" t="s">
        <v>243</v>
      </c>
      <c r="E32">
        <v>0.10641</v>
      </c>
      <c r="F32">
        <v>0</v>
      </c>
      <c r="G32">
        <v>1.9089999999999999E-2</v>
      </c>
      <c r="H32">
        <v>-3.9500000000000004E-3</v>
      </c>
      <c r="I32">
        <v>0.12155000000000001</v>
      </c>
    </row>
    <row r="33" spans="1:9" x14ac:dyDescent="0.25">
      <c r="A33" t="s">
        <v>173</v>
      </c>
      <c r="B33" t="str">
        <f t="shared" si="0"/>
        <v>CambridgeG-2</v>
      </c>
      <c r="C33" t="s">
        <v>26</v>
      </c>
      <c r="D33" t="s">
        <v>7</v>
      </c>
      <c r="E33">
        <v>0.10084</v>
      </c>
      <c r="F33">
        <v>0</v>
      </c>
      <c r="G33">
        <v>1.6039999999999999E-2</v>
      </c>
      <c r="H33">
        <v>-3.46E-3</v>
      </c>
      <c r="I33">
        <v>0.11341999999999999</v>
      </c>
    </row>
    <row r="34" spans="1:9" x14ac:dyDescent="0.25">
      <c r="A34" t="s">
        <v>173</v>
      </c>
      <c r="B34" t="str">
        <f t="shared" si="0"/>
        <v>CambridgeG-3</v>
      </c>
      <c r="C34" t="s">
        <v>26</v>
      </c>
      <c r="D34" t="s">
        <v>9</v>
      </c>
      <c r="E34">
        <v>0.10084</v>
      </c>
      <c r="F34">
        <v>0</v>
      </c>
      <c r="G34">
        <v>7.43E-3</v>
      </c>
      <c r="H34">
        <v>-2.8500000000000001E-3</v>
      </c>
      <c r="I34">
        <v>0.10542</v>
      </c>
    </row>
    <row r="35" spans="1:9" x14ac:dyDescent="0.25">
      <c r="A35" t="s">
        <v>173</v>
      </c>
      <c r="B35" t="str">
        <f t="shared" si="0"/>
        <v>GreaterBostonR-1</v>
      </c>
      <c r="C35" t="s">
        <v>177</v>
      </c>
      <c r="D35" t="s">
        <v>5</v>
      </c>
      <c r="E35">
        <v>0.10871</v>
      </c>
      <c r="F35">
        <v>2.307E-2</v>
      </c>
      <c r="G35">
        <v>5.5849999999999997E-2</v>
      </c>
      <c r="H35">
        <v>-2.4299999999999999E-3</v>
      </c>
      <c r="I35">
        <v>0.18520000000000003</v>
      </c>
    </row>
    <row r="36" spans="1:9" x14ac:dyDescent="0.25">
      <c r="A36" t="s">
        <v>173</v>
      </c>
      <c r="B36" t="str">
        <f t="shared" si="0"/>
        <v>GreaterBostonR-2</v>
      </c>
      <c r="C36" t="s">
        <v>177</v>
      </c>
      <c r="D36" t="s">
        <v>8</v>
      </c>
      <c r="E36">
        <v>0.10871</v>
      </c>
      <c r="F36">
        <v>2.307E-2</v>
      </c>
      <c r="G36">
        <v>5.5849999999999997E-2</v>
      </c>
      <c r="H36">
        <v>-2.4299999999999999E-3</v>
      </c>
      <c r="I36">
        <v>0.18520000000000003</v>
      </c>
    </row>
    <row r="37" spans="1:9" x14ac:dyDescent="0.25">
      <c r="A37" t="s">
        <v>173</v>
      </c>
      <c r="B37" t="str">
        <f t="shared" si="0"/>
        <v>GreaterBostonR-3</v>
      </c>
      <c r="C37" t="s">
        <v>177</v>
      </c>
      <c r="D37" t="s">
        <v>65</v>
      </c>
      <c r="E37">
        <v>0.10871</v>
      </c>
      <c r="F37">
        <v>2.2769999999999999E-2</v>
      </c>
      <c r="G37">
        <v>4.5999999999999999E-2</v>
      </c>
      <c r="H37">
        <v>-1.98E-3</v>
      </c>
      <c r="I37">
        <v>0.17549999999999996</v>
      </c>
    </row>
    <row r="38" spans="1:9" x14ac:dyDescent="0.25">
      <c r="A38" t="s">
        <v>173</v>
      </c>
      <c r="B38" t="str">
        <f t="shared" si="0"/>
        <v>GreaterBostonR-4</v>
      </c>
      <c r="C38" t="s">
        <v>177</v>
      </c>
      <c r="D38" t="s">
        <v>12</v>
      </c>
      <c r="E38">
        <v>0.10871</v>
      </c>
      <c r="F38">
        <v>2.2769999999999999E-2</v>
      </c>
      <c r="G38">
        <v>4.5999999999999999E-2</v>
      </c>
      <c r="H38">
        <v>-1.98E-3</v>
      </c>
      <c r="I38">
        <v>0.17549999999999996</v>
      </c>
    </row>
    <row r="39" spans="1:9" x14ac:dyDescent="0.25">
      <c r="A39" t="s">
        <v>173</v>
      </c>
      <c r="B39" t="str">
        <f t="shared" si="0"/>
        <v>GreaterBostonG-1ND</v>
      </c>
      <c r="C39" t="s">
        <v>177</v>
      </c>
      <c r="D39" t="s">
        <v>240</v>
      </c>
      <c r="E39">
        <v>0.10641</v>
      </c>
      <c r="F39">
        <v>2.9729999999999999E-2</v>
      </c>
      <c r="G39">
        <v>6.7299999999999999E-2</v>
      </c>
      <c r="H39">
        <v>-2.7599999999999999E-3</v>
      </c>
      <c r="I39">
        <v>0.20068</v>
      </c>
    </row>
    <row r="40" spans="1:9" x14ac:dyDescent="0.25">
      <c r="A40" t="s">
        <v>173</v>
      </c>
      <c r="B40" t="str">
        <f t="shared" si="0"/>
        <v>GreaterBostonG-1D</v>
      </c>
      <c r="C40" t="s">
        <v>177</v>
      </c>
      <c r="D40" t="s">
        <v>239</v>
      </c>
      <c r="E40">
        <v>0.10641</v>
      </c>
      <c r="F40">
        <v>1.5810000000000001E-2</v>
      </c>
      <c r="G40">
        <v>6.0080000000000001E-2</v>
      </c>
      <c r="H40">
        <v>-2.7799999999999999E-3</v>
      </c>
      <c r="I40">
        <v>0.17952000000000001</v>
      </c>
    </row>
    <row r="41" spans="1:9" x14ac:dyDescent="0.25">
      <c r="A41" t="s">
        <v>173</v>
      </c>
      <c r="B41" t="str">
        <f t="shared" si="0"/>
        <v>GreaterBostonG-2</v>
      </c>
      <c r="C41" t="s">
        <v>177</v>
      </c>
      <c r="D41" t="s">
        <v>7</v>
      </c>
      <c r="E41">
        <v>0.10641</v>
      </c>
      <c r="F41">
        <v>0</v>
      </c>
      <c r="G41">
        <v>2.2839999999999999E-2</v>
      </c>
      <c r="H41">
        <v>-2.0300000000000001E-3</v>
      </c>
      <c r="I41">
        <v>0.12722</v>
      </c>
    </row>
    <row r="42" spans="1:9" x14ac:dyDescent="0.25">
      <c r="A42" t="s">
        <v>173</v>
      </c>
      <c r="B42" t="str">
        <f t="shared" si="0"/>
        <v>GreaterBostonG-3(B3)</v>
      </c>
      <c r="C42" t="s">
        <v>177</v>
      </c>
      <c r="D42" t="s">
        <v>282</v>
      </c>
      <c r="E42">
        <v>0.10084</v>
      </c>
      <c r="F42">
        <v>0</v>
      </c>
      <c r="G42">
        <v>5.0400000000000002E-3</v>
      </c>
      <c r="H42">
        <v>-1.3500000000000001E-3</v>
      </c>
      <c r="I42">
        <v>0.10453</v>
      </c>
    </row>
    <row r="43" spans="1:9" x14ac:dyDescent="0.25">
      <c r="A43" t="s">
        <v>173</v>
      </c>
      <c r="B43" t="str">
        <f t="shared" si="0"/>
        <v>GreaterBostonG-3(G6)</v>
      </c>
      <c r="C43" t="s">
        <v>177</v>
      </c>
      <c r="D43" t="s">
        <v>283</v>
      </c>
      <c r="E43">
        <v>9.2179999999999998E-2</v>
      </c>
      <c r="F43">
        <v>0</v>
      </c>
      <c r="G43">
        <v>5.0400000000000002E-3</v>
      </c>
      <c r="H43">
        <v>-1.3500000000000001E-3</v>
      </c>
      <c r="I43">
        <v>9.5869999999999997E-2</v>
      </c>
    </row>
    <row r="44" spans="1:9" x14ac:dyDescent="0.25">
      <c r="A44" t="s">
        <v>173</v>
      </c>
      <c r="B44" t="str">
        <f t="shared" si="0"/>
        <v>GreaterBostonT-1</v>
      </c>
      <c r="C44" t="s">
        <v>177</v>
      </c>
      <c r="D44" t="s">
        <v>251</v>
      </c>
      <c r="E44">
        <v>0.10641</v>
      </c>
      <c r="F44">
        <v>2.1909999999999999E-2</v>
      </c>
      <c r="G44">
        <v>5.7340000000000002E-2</v>
      </c>
      <c r="H44">
        <v>-2.63E-3</v>
      </c>
      <c r="I44">
        <v>0.18303</v>
      </c>
    </row>
    <row r="45" spans="1:9" x14ac:dyDescent="0.25">
      <c r="A45" t="s">
        <v>173</v>
      </c>
      <c r="B45" t="str">
        <f t="shared" si="0"/>
        <v>GreaterBostonT-2(B7)</v>
      </c>
      <c r="C45" t="s">
        <v>177</v>
      </c>
      <c r="D45" t="s">
        <v>284</v>
      </c>
      <c r="E45">
        <v>0.10084</v>
      </c>
      <c r="F45">
        <v>0</v>
      </c>
      <c r="G45">
        <v>6.96E-3</v>
      </c>
      <c r="H45">
        <v>-1.73E-3</v>
      </c>
      <c r="I45">
        <v>0.10607</v>
      </c>
    </row>
    <row r="46" spans="1:9" x14ac:dyDescent="0.25">
      <c r="A46" t="s">
        <v>173</v>
      </c>
      <c r="B46" t="str">
        <f t="shared" si="0"/>
        <v>GreaterBostonT-2(B8)</v>
      </c>
      <c r="C46" t="s">
        <v>177</v>
      </c>
      <c r="D46" t="s">
        <v>285</v>
      </c>
      <c r="E46">
        <v>9.2179999999999998E-2</v>
      </c>
      <c r="F46">
        <v>0</v>
      </c>
      <c r="G46">
        <v>6.96E-3</v>
      </c>
      <c r="H46">
        <v>-1.73E-3</v>
      </c>
      <c r="I46">
        <v>9.7409999999999997E-2</v>
      </c>
    </row>
    <row r="47" spans="1:9" x14ac:dyDescent="0.25">
      <c r="A47" t="s">
        <v>173</v>
      </c>
      <c r="B47" t="str">
        <f t="shared" si="0"/>
        <v>SouthShoreCCVinyardR-1</v>
      </c>
      <c r="C47" t="s">
        <v>180</v>
      </c>
      <c r="D47" t="s">
        <v>5</v>
      </c>
      <c r="E47">
        <v>0.10871</v>
      </c>
      <c r="F47">
        <v>2.298E-2</v>
      </c>
      <c r="G47">
        <v>6.0929999999999998E-2</v>
      </c>
      <c r="H47">
        <v>4.3600000000000002E-3</v>
      </c>
      <c r="I47">
        <v>0.19698000000000002</v>
      </c>
    </row>
    <row r="48" spans="1:9" x14ac:dyDescent="0.25">
      <c r="A48" t="s">
        <v>173</v>
      </c>
      <c r="B48" t="str">
        <f t="shared" si="0"/>
        <v>SouthShoreCCVinyardR-2</v>
      </c>
      <c r="C48" t="s">
        <v>180</v>
      </c>
      <c r="D48" t="s">
        <v>8</v>
      </c>
      <c r="E48">
        <v>0.10871</v>
      </c>
      <c r="F48">
        <v>2.298E-2</v>
      </c>
      <c r="G48">
        <v>6.0929999999999998E-2</v>
      </c>
      <c r="H48">
        <v>4.3600000000000002E-3</v>
      </c>
      <c r="I48">
        <v>0.19698000000000002</v>
      </c>
    </row>
    <row r="49" spans="1:9" x14ac:dyDescent="0.25">
      <c r="A49" t="s">
        <v>173</v>
      </c>
      <c r="B49" t="str">
        <f t="shared" si="0"/>
        <v>SouthShoreCCVinyardR-3</v>
      </c>
      <c r="C49" t="s">
        <v>180</v>
      </c>
      <c r="D49" t="s">
        <v>65</v>
      </c>
      <c r="E49">
        <v>0.10871</v>
      </c>
      <c r="F49">
        <v>2.1000000000000001E-2</v>
      </c>
      <c r="G49">
        <v>3.8899999999999997E-2</v>
      </c>
      <c r="H49">
        <v>4.8900000000000002E-3</v>
      </c>
      <c r="I49">
        <v>0.17349999999999999</v>
      </c>
    </row>
    <row r="50" spans="1:9" x14ac:dyDescent="0.25">
      <c r="A50" t="s">
        <v>173</v>
      </c>
      <c r="B50" t="str">
        <f t="shared" si="0"/>
        <v>SouthShoreCCVinyardR-4</v>
      </c>
      <c r="C50" t="s">
        <v>180</v>
      </c>
      <c r="D50" t="s">
        <v>12</v>
      </c>
      <c r="E50">
        <v>0.10871</v>
      </c>
      <c r="F50">
        <v>2.1000000000000001E-2</v>
      </c>
      <c r="G50">
        <v>3.8899999999999997E-2</v>
      </c>
      <c r="H50">
        <v>4.8900000000000002E-3</v>
      </c>
      <c r="I50">
        <v>0.17349999999999999</v>
      </c>
    </row>
    <row r="51" spans="1:9" x14ac:dyDescent="0.25">
      <c r="A51" t="s">
        <v>173</v>
      </c>
      <c r="B51" t="str">
        <f t="shared" si="0"/>
        <v>SouthShoreCCVinyardG-3</v>
      </c>
      <c r="C51" t="s">
        <v>180</v>
      </c>
      <c r="D51" t="s">
        <v>9</v>
      </c>
      <c r="E51">
        <v>9.2179999999999998E-2</v>
      </c>
      <c r="F51">
        <v>0</v>
      </c>
      <c r="G51">
        <v>1.345E-2</v>
      </c>
      <c r="H51">
        <v>5.8399999999999997E-3</v>
      </c>
      <c r="I51">
        <v>0.11147</v>
      </c>
    </row>
    <row r="52" spans="1:9" x14ac:dyDescent="0.25">
      <c r="A52" t="s">
        <v>173</v>
      </c>
      <c r="B52" t="str">
        <f t="shared" si="0"/>
        <v>SouthShoreCCVinyardG-7S</v>
      </c>
      <c r="C52" t="s">
        <v>180</v>
      </c>
      <c r="D52" t="s">
        <v>260</v>
      </c>
      <c r="E52">
        <v>0.10641</v>
      </c>
      <c r="F52">
        <v>0</v>
      </c>
      <c r="G52">
        <v>4.7260000000000003E-2</v>
      </c>
      <c r="H52">
        <v>5.0499999999999998E-3</v>
      </c>
      <c r="I52">
        <v>0.15872</v>
      </c>
    </row>
    <row r="53" spans="1:9" x14ac:dyDescent="0.25">
      <c r="A53" t="s">
        <v>173</v>
      </c>
      <c r="B53" t="str">
        <f t="shared" si="0"/>
        <v>SouthShoreCCVinyardG-1</v>
      </c>
      <c r="C53" t="s">
        <v>180</v>
      </c>
      <c r="D53" t="s">
        <v>6</v>
      </c>
      <c r="E53">
        <v>0.10641</v>
      </c>
      <c r="F53">
        <v>2.3369999999999998E-2</v>
      </c>
      <c r="G53">
        <v>3.1220000000000001E-2</v>
      </c>
      <c r="H53">
        <v>5.0299999999999997E-3</v>
      </c>
      <c r="I53">
        <v>0.16603000000000001</v>
      </c>
    </row>
    <row r="54" spans="1:9" x14ac:dyDescent="0.25">
      <c r="A54" t="s">
        <v>173</v>
      </c>
      <c r="B54" t="str">
        <f t="shared" si="0"/>
        <v>SouthShoreCCVinyardG-1S</v>
      </c>
      <c r="C54" t="s">
        <v>180</v>
      </c>
      <c r="D54" t="s">
        <v>261</v>
      </c>
      <c r="E54">
        <v>0.10641</v>
      </c>
      <c r="F54">
        <v>3.023E-2</v>
      </c>
      <c r="G54">
        <v>6.0199999999999997E-2</v>
      </c>
      <c r="H54">
        <v>5.0299999999999997E-3</v>
      </c>
      <c r="I54">
        <v>0.20187000000000002</v>
      </c>
    </row>
    <row r="55" spans="1:9" x14ac:dyDescent="0.25">
      <c r="A55" t="s">
        <v>173</v>
      </c>
      <c r="B55" t="str">
        <f t="shared" si="0"/>
        <v>SouthShoreCCVinyardG-7</v>
      </c>
      <c r="C55" t="s">
        <v>180</v>
      </c>
      <c r="D55" t="s">
        <v>262</v>
      </c>
      <c r="E55">
        <v>0.10641</v>
      </c>
      <c r="F55">
        <v>0</v>
      </c>
      <c r="G55">
        <v>2.5610000000000001E-2</v>
      </c>
      <c r="H55">
        <v>5.0299999999999997E-3</v>
      </c>
      <c r="I55">
        <v>0.13705000000000001</v>
      </c>
    </row>
    <row r="56" spans="1:9" x14ac:dyDescent="0.25">
      <c r="A56" t="s">
        <v>173</v>
      </c>
      <c r="B56" t="str">
        <f t="shared" si="0"/>
        <v>SouthShoreCCVinyardG-2</v>
      </c>
      <c r="C56" t="s">
        <v>180</v>
      </c>
      <c r="D56" t="s">
        <v>7</v>
      </c>
      <c r="E56">
        <v>9.2179999999999998E-2</v>
      </c>
      <c r="F56">
        <v>2.5100000000000001E-3</v>
      </c>
      <c r="G56">
        <v>1.7819999999999999E-2</v>
      </c>
      <c r="H56">
        <v>5.5300000000000002E-3</v>
      </c>
      <c r="I56">
        <v>0.11804000000000001</v>
      </c>
    </row>
    <row r="57" spans="1:9" x14ac:dyDescent="0.25">
      <c r="A57" t="s">
        <v>173</v>
      </c>
      <c r="B57" t="str">
        <f t="shared" si="0"/>
        <v>WesternMassR-1</v>
      </c>
      <c r="C57" t="s">
        <v>179</v>
      </c>
      <c r="D57" t="s">
        <v>5</v>
      </c>
      <c r="E57">
        <v>9.9699999999999997E-2</v>
      </c>
      <c r="F57">
        <v>2.5510000000000001E-2</v>
      </c>
      <c r="G57">
        <v>6.1759999999999995E-2</v>
      </c>
      <c r="H57">
        <v>-2.0400000000000001E-3</v>
      </c>
      <c r="I57">
        <v>0.18492999999999998</v>
      </c>
    </row>
    <row r="58" spans="1:9" x14ac:dyDescent="0.25">
      <c r="A58" t="s">
        <v>173</v>
      </c>
      <c r="B58" t="str">
        <f t="shared" si="0"/>
        <v>WesternMassR-2</v>
      </c>
      <c r="C58" t="s">
        <v>179</v>
      </c>
      <c r="D58" t="s">
        <v>8</v>
      </c>
      <c r="E58">
        <v>9.9699999999999997E-2</v>
      </c>
      <c r="F58">
        <v>2.5510000000000001E-2</v>
      </c>
      <c r="G58">
        <v>6.1469999999999997E-2</v>
      </c>
      <c r="H58">
        <v>-2.0400000000000001E-3</v>
      </c>
      <c r="I58">
        <v>0.18463999999999997</v>
      </c>
    </row>
    <row r="59" spans="1:9" x14ac:dyDescent="0.25">
      <c r="A59" t="s">
        <v>173</v>
      </c>
      <c r="B59" t="str">
        <f t="shared" si="0"/>
        <v>WesternMassR-3</v>
      </c>
      <c r="C59" t="s">
        <v>179</v>
      </c>
      <c r="D59" t="s">
        <v>65</v>
      </c>
      <c r="E59">
        <v>9.9699999999999997E-2</v>
      </c>
      <c r="F59">
        <v>2.3449999999999999E-2</v>
      </c>
      <c r="G59">
        <v>5.6969999999999993E-2</v>
      </c>
      <c r="H59">
        <v>-2.0400000000000001E-3</v>
      </c>
      <c r="I59">
        <v>0.17808000000000002</v>
      </c>
    </row>
    <row r="60" spans="1:9" x14ac:dyDescent="0.25">
      <c r="A60" t="s">
        <v>173</v>
      </c>
      <c r="B60" t="str">
        <f t="shared" si="0"/>
        <v>WesternMassR-4</v>
      </c>
      <c r="C60" t="s">
        <v>179</v>
      </c>
      <c r="D60" t="s">
        <v>12</v>
      </c>
      <c r="E60">
        <v>9.9699999999999997E-2</v>
      </c>
      <c r="F60">
        <v>2.3449999999999999E-2</v>
      </c>
      <c r="G60">
        <v>5.7119999999999997E-2</v>
      </c>
      <c r="H60">
        <v>-2.0400000000000001E-3</v>
      </c>
      <c r="I60">
        <v>0.17823</v>
      </c>
    </row>
    <row r="61" spans="1:9" x14ac:dyDescent="0.25">
      <c r="A61" t="s">
        <v>173</v>
      </c>
      <c r="B61" t="str">
        <f t="shared" si="0"/>
        <v>WesternMass23</v>
      </c>
      <c r="C61" t="s">
        <v>179</v>
      </c>
      <c r="D61">
        <v>23</v>
      </c>
      <c r="E61">
        <v>0.10256999999999999</v>
      </c>
      <c r="F61">
        <v>1.9439999999999999E-2</v>
      </c>
      <c r="G61">
        <v>3.8109999999999991E-2</v>
      </c>
      <c r="H61">
        <v>-2.0400000000000001E-3</v>
      </c>
      <c r="I61">
        <v>0.15808</v>
      </c>
    </row>
    <row r="62" spans="1:9" x14ac:dyDescent="0.25">
      <c r="A62" t="s">
        <v>173</v>
      </c>
      <c r="B62" t="str">
        <f t="shared" si="0"/>
        <v>WesternMass24</v>
      </c>
      <c r="C62" t="s">
        <v>179</v>
      </c>
      <c r="D62">
        <v>24</v>
      </c>
      <c r="E62">
        <v>0.10256999999999999</v>
      </c>
      <c r="F62">
        <v>0</v>
      </c>
      <c r="G62">
        <v>1.7860000000000001E-2</v>
      </c>
      <c r="H62">
        <v>-2.0400000000000001E-3</v>
      </c>
      <c r="I62">
        <v>0.11839</v>
      </c>
    </row>
    <row r="63" spans="1:9" x14ac:dyDescent="0.25">
      <c r="A63" t="s">
        <v>173</v>
      </c>
      <c r="B63" t="str">
        <f t="shared" ref="B63:B68" si="1">C63&amp;D63</f>
        <v>WesternMassG-0</v>
      </c>
      <c r="C63" t="s">
        <v>179</v>
      </c>
      <c r="D63" t="s">
        <v>66</v>
      </c>
      <c r="E63">
        <v>0.10256999999999999</v>
      </c>
      <c r="F63">
        <v>0</v>
      </c>
      <c r="G63">
        <v>1.444E-2</v>
      </c>
      <c r="H63">
        <v>-2.0400000000000001E-3</v>
      </c>
      <c r="I63">
        <v>0.11496999999999999</v>
      </c>
    </row>
    <row r="64" spans="1:9" x14ac:dyDescent="0.25">
      <c r="A64" t="s">
        <v>173</v>
      </c>
      <c r="B64" t="str">
        <f t="shared" si="1"/>
        <v>WesternMassT-0</v>
      </c>
      <c r="C64" t="s">
        <v>179</v>
      </c>
      <c r="D64" t="s">
        <v>70</v>
      </c>
      <c r="E64">
        <v>0.10256999999999999</v>
      </c>
      <c r="F64">
        <v>0</v>
      </c>
      <c r="G64">
        <v>1.391E-2</v>
      </c>
      <c r="H64">
        <v>-2.0400000000000001E-3</v>
      </c>
      <c r="I64">
        <v>0.11444</v>
      </c>
    </row>
    <row r="65" spans="1:9" x14ac:dyDescent="0.25">
      <c r="A65" t="s">
        <v>173</v>
      </c>
      <c r="B65" t="str">
        <f t="shared" si="1"/>
        <v>WesternMassG-2</v>
      </c>
      <c r="C65" t="s">
        <v>179</v>
      </c>
      <c r="D65" t="s">
        <v>7</v>
      </c>
      <c r="E65">
        <v>9.6100000000000005E-2</v>
      </c>
      <c r="F65">
        <v>0</v>
      </c>
      <c r="G65">
        <v>1.157E-2</v>
      </c>
      <c r="H65">
        <v>-2.0400000000000001E-3</v>
      </c>
      <c r="I65">
        <v>0.10563</v>
      </c>
    </row>
    <row r="66" spans="1:9" x14ac:dyDescent="0.25">
      <c r="A66" t="s">
        <v>173</v>
      </c>
      <c r="B66" t="str">
        <f t="shared" si="1"/>
        <v>WesternMassT-4</v>
      </c>
      <c r="C66" t="s">
        <v>179</v>
      </c>
      <c r="D66" t="s">
        <v>71</v>
      </c>
      <c r="E66">
        <v>9.6100000000000005E-2</v>
      </c>
      <c r="F66">
        <v>0</v>
      </c>
      <c r="G66">
        <v>1.0999999999999999E-2</v>
      </c>
      <c r="H66">
        <v>-2.0400000000000001E-3</v>
      </c>
      <c r="I66">
        <v>0.10506</v>
      </c>
    </row>
    <row r="67" spans="1:9" x14ac:dyDescent="0.25">
      <c r="A67" t="s">
        <v>173</v>
      </c>
      <c r="B67" t="str">
        <f t="shared" si="1"/>
        <v>WesternMassT-2</v>
      </c>
      <c r="C67" t="s">
        <v>179</v>
      </c>
      <c r="D67" t="s">
        <v>72</v>
      </c>
      <c r="E67">
        <v>9.6100000000000005E-2</v>
      </c>
      <c r="F67">
        <v>0</v>
      </c>
      <c r="G67">
        <v>8.2299999999999995E-3</v>
      </c>
      <c r="H67">
        <v>-2.0400000000000001E-3</v>
      </c>
      <c r="I67">
        <v>0.10229000000000001</v>
      </c>
    </row>
    <row r="68" spans="1:9" x14ac:dyDescent="0.25">
      <c r="A68" t="s">
        <v>173</v>
      </c>
      <c r="B68" t="str">
        <f t="shared" si="1"/>
        <v>WesternMassT-5</v>
      </c>
      <c r="C68" t="s">
        <v>179</v>
      </c>
      <c r="D68" t="s">
        <v>73</v>
      </c>
      <c r="E68">
        <v>9.6100000000000005E-2</v>
      </c>
      <c r="F68">
        <v>0</v>
      </c>
      <c r="G68">
        <v>6.5199999999999998E-3</v>
      </c>
      <c r="H68">
        <v>-2.0400000000000001E-3</v>
      </c>
      <c r="I68">
        <v>0.10058</v>
      </c>
    </row>
  </sheetData>
  <sheetProtection password="C274"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zoomScaleNormal="100" workbookViewId="0">
      <selection sqref="A1:F1"/>
    </sheetView>
  </sheetViews>
  <sheetFormatPr defaultRowHeight="15" x14ac:dyDescent="0.25"/>
  <cols>
    <col min="1" max="1" width="20.5703125" bestFit="1" customWidth="1"/>
    <col min="2" max="2" width="16.85546875" customWidth="1"/>
    <col min="3" max="3" width="12.5703125" bestFit="1" customWidth="1"/>
    <col min="4" max="5" width="12.5703125" customWidth="1"/>
    <col min="6" max="6" width="16" customWidth="1"/>
    <col min="7" max="7" width="2.7109375" customWidth="1"/>
    <col min="8" max="8" width="53.140625" hidden="1" customWidth="1"/>
    <col min="9" max="9" width="9.140625" hidden="1" customWidth="1"/>
  </cols>
  <sheetData>
    <row r="1" spans="1:9" x14ac:dyDescent="0.25">
      <c r="A1" s="217" t="s">
        <v>16</v>
      </c>
      <c r="B1" s="217"/>
      <c r="C1" s="217"/>
      <c r="D1" s="217"/>
      <c r="E1" s="217"/>
      <c r="F1" s="217"/>
    </row>
    <row r="2" spans="1:9" ht="15" customHeight="1" x14ac:dyDescent="0.25">
      <c r="A2" s="213" t="s">
        <v>4</v>
      </c>
      <c r="B2" s="214" t="s">
        <v>0</v>
      </c>
      <c r="C2" s="215" t="s">
        <v>10</v>
      </c>
      <c r="D2" s="215"/>
      <c r="E2" s="215"/>
      <c r="F2" s="214" t="s">
        <v>221</v>
      </c>
    </row>
    <row r="3" spans="1:9" x14ac:dyDescent="0.25">
      <c r="A3" s="213"/>
      <c r="B3" s="214"/>
      <c r="C3" s="118" t="s">
        <v>1</v>
      </c>
      <c r="D3" s="118" t="s">
        <v>2</v>
      </c>
      <c r="E3" s="118" t="s">
        <v>3</v>
      </c>
      <c r="F3" s="214"/>
    </row>
    <row r="4" spans="1:9" x14ac:dyDescent="0.25">
      <c r="A4" s="1" t="s">
        <v>5</v>
      </c>
      <c r="B4" s="2">
        <f>'Basic Service Rates'!F36</f>
        <v>0.10772</v>
      </c>
      <c r="C4" s="2">
        <v>3.0179999999999998E-2</v>
      </c>
      <c r="D4" s="2">
        <v>6.0760000000000002E-2</v>
      </c>
      <c r="E4" s="2">
        <v>3.8999999999999999E-4</v>
      </c>
      <c r="F4" s="2">
        <f t="shared" ref="F4:F13" si="0">B4+C4+D4+E4</f>
        <v>0.19905</v>
      </c>
    </row>
    <row r="5" spans="1:9" x14ac:dyDescent="0.25">
      <c r="A5" s="1" t="s">
        <v>8</v>
      </c>
      <c r="B5" s="2">
        <f>B4</f>
        <v>0.10772</v>
      </c>
      <c r="C5" s="2">
        <v>3.0179999999999998E-2</v>
      </c>
      <c r="D5" s="2">
        <v>6.0760000000000002E-2</v>
      </c>
      <c r="E5" s="2">
        <v>3.8999999999999999E-4</v>
      </c>
      <c r="F5" s="2">
        <f>B5+C5+D5+E5</f>
        <v>0.19905</v>
      </c>
      <c r="H5" s="6" t="s">
        <v>288</v>
      </c>
      <c r="I5" t="s">
        <v>289</v>
      </c>
    </row>
    <row r="6" spans="1:9" x14ac:dyDescent="0.25">
      <c r="A6" s="1" t="s">
        <v>12</v>
      </c>
      <c r="B6" s="2">
        <f>B4</f>
        <v>0.10772</v>
      </c>
      <c r="C6" s="2">
        <v>2.6380000000000001E-2</v>
      </c>
      <c r="D6" s="2">
        <v>7.3719999999999994E-2</v>
      </c>
      <c r="E6" s="2">
        <v>6.6E-4</v>
      </c>
      <c r="F6" s="2">
        <f t="shared" si="0"/>
        <v>0.20848</v>
      </c>
      <c r="H6" s="6" t="s">
        <v>290</v>
      </c>
      <c r="I6" t="s">
        <v>291</v>
      </c>
    </row>
    <row r="7" spans="1:9" x14ac:dyDescent="0.25">
      <c r="A7" s="1" t="s">
        <v>6</v>
      </c>
      <c r="B7" s="16">
        <f>'Basic Service Rates'!L36</f>
        <v>0.10137</v>
      </c>
      <c r="C7" s="2">
        <v>2.3140000000000001E-2</v>
      </c>
      <c r="D7" s="2">
        <v>5.2720000000000003E-2</v>
      </c>
      <c r="E7" s="2">
        <v>3.8000000000000002E-4</v>
      </c>
      <c r="F7" s="2">
        <f t="shared" si="0"/>
        <v>0.17760999999999999</v>
      </c>
      <c r="H7" s="6"/>
    </row>
    <row r="8" spans="1:9" x14ac:dyDescent="0.25">
      <c r="A8" s="1" t="s">
        <v>222</v>
      </c>
      <c r="B8" s="16">
        <f>'Basic Service Rates'!F52</f>
        <v>9.8309999999999995E-2</v>
      </c>
      <c r="C8" s="2">
        <v>2.2370000000000001E-2</v>
      </c>
      <c r="D8" s="2">
        <v>1.6549999999999999E-2</v>
      </c>
      <c r="E8" s="2">
        <v>3.8000000000000002E-4</v>
      </c>
      <c r="F8" s="2">
        <f t="shared" si="0"/>
        <v>0.13760999999999998</v>
      </c>
      <c r="G8" s="3"/>
      <c r="H8" s="6"/>
    </row>
    <row r="9" spans="1:9" x14ac:dyDescent="0.25">
      <c r="A9" s="1" t="s">
        <v>286</v>
      </c>
      <c r="B9" s="16">
        <f>'Basic Service Rates'!F68</f>
        <v>9.2310000000000003E-2</v>
      </c>
      <c r="C9" s="2">
        <v>2.2370000000000001E-2</v>
      </c>
      <c r="D9" s="2">
        <v>1.6549999999999999E-2</v>
      </c>
      <c r="E9" s="2">
        <v>3.8000000000000002E-4</v>
      </c>
      <c r="F9" s="2">
        <f t="shared" si="0"/>
        <v>0.13161</v>
      </c>
      <c r="G9" s="3"/>
      <c r="H9" s="6"/>
    </row>
    <row r="10" spans="1:9" x14ac:dyDescent="0.25">
      <c r="A10" s="1" t="s">
        <v>223</v>
      </c>
      <c r="B10" s="16">
        <f>'Basic Service Rates'!L52</f>
        <v>9.332E-2</v>
      </c>
      <c r="C10" s="2">
        <v>2.2370000000000001E-2</v>
      </c>
      <c r="D10" s="2">
        <v>1.6549999999999999E-2</v>
      </c>
      <c r="E10" s="2">
        <v>3.8000000000000002E-4</v>
      </c>
      <c r="F10" s="2">
        <f t="shared" si="0"/>
        <v>0.13261999999999999</v>
      </c>
      <c r="G10" s="3"/>
      <c r="H10" s="6"/>
    </row>
    <row r="11" spans="1:9" x14ac:dyDescent="0.25">
      <c r="A11" s="1" t="s">
        <v>224</v>
      </c>
      <c r="B11" s="16">
        <f>B8</f>
        <v>9.8309999999999995E-2</v>
      </c>
      <c r="C11" s="2">
        <v>2.0760000000000001E-2</v>
      </c>
      <c r="D11" s="2">
        <v>1.14E-2</v>
      </c>
      <c r="E11" s="2">
        <v>4.4000000000000002E-4</v>
      </c>
      <c r="F11" s="2">
        <f t="shared" si="0"/>
        <v>0.13091</v>
      </c>
      <c r="G11" s="3"/>
      <c r="H11" s="6" t="s">
        <v>290</v>
      </c>
      <c r="I11" t="s">
        <v>292</v>
      </c>
    </row>
    <row r="12" spans="1:9" x14ac:dyDescent="0.25">
      <c r="A12" s="1" t="s">
        <v>225</v>
      </c>
      <c r="B12" s="16">
        <f t="shared" ref="B12:B13" si="1">B9</f>
        <v>9.2310000000000003E-2</v>
      </c>
      <c r="C12" s="2">
        <v>2.0760000000000001E-2</v>
      </c>
      <c r="D12" s="2">
        <v>1.14E-2</v>
      </c>
      <c r="E12" s="2">
        <v>4.4000000000000002E-4</v>
      </c>
      <c r="F12" s="2">
        <f t="shared" si="0"/>
        <v>0.12490999999999999</v>
      </c>
      <c r="G12" s="3"/>
      <c r="H12" s="6"/>
    </row>
    <row r="13" spans="1:9" x14ac:dyDescent="0.25">
      <c r="A13" s="1" t="s">
        <v>226</v>
      </c>
      <c r="B13" s="16">
        <f t="shared" si="1"/>
        <v>9.332E-2</v>
      </c>
      <c r="C13" s="2">
        <v>2.0760000000000001E-2</v>
      </c>
      <c r="D13" s="2">
        <v>1.14E-2</v>
      </c>
      <c r="E13" s="2">
        <v>4.4000000000000002E-4</v>
      </c>
      <c r="F13" s="2">
        <f t="shared" si="0"/>
        <v>0.12592</v>
      </c>
      <c r="G13" s="3"/>
      <c r="H13" s="6"/>
    </row>
    <row r="15" spans="1:9" x14ac:dyDescent="0.25">
      <c r="A15" s="217" t="s">
        <v>11</v>
      </c>
      <c r="B15" s="217"/>
      <c r="C15" s="217"/>
      <c r="D15" s="217"/>
      <c r="E15" s="217"/>
      <c r="F15" s="217"/>
    </row>
    <row r="16" spans="1:9" ht="15" customHeight="1" x14ac:dyDescent="0.25">
      <c r="A16" s="213" t="s">
        <v>4</v>
      </c>
      <c r="B16" s="214" t="s">
        <v>0</v>
      </c>
      <c r="C16" s="215" t="s">
        <v>10</v>
      </c>
      <c r="D16" s="215"/>
      <c r="E16" s="215"/>
      <c r="F16" s="214" t="s">
        <v>221</v>
      </c>
    </row>
    <row r="17" spans="1:9" x14ac:dyDescent="0.25">
      <c r="A17" s="213"/>
      <c r="B17" s="214"/>
      <c r="C17" s="118" t="s">
        <v>1</v>
      </c>
      <c r="D17" s="118" t="s">
        <v>2</v>
      </c>
      <c r="E17" s="118" t="s">
        <v>3</v>
      </c>
      <c r="F17" s="214"/>
    </row>
    <row r="18" spans="1:9" x14ac:dyDescent="0.25">
      <c r="A18" s="1" t="s">
        <v>5</v>
      </c>
      <c r="B18" s="2">
        <f>B4</f>
        <v>0.10772</v>
      </c>
      <c r="C18" s="2">
        <f t="shared" ref="C18:E18" si="2">C4</f>
        <v>3.0179999999999998E-2</v>
      </c>
      <c r="D18" s="2">
        <f t="shared" si="2"/>
        <v>6.0760000000000002E-2</v>
      </c>
      <c r="E18" s="2">
        <f t="shared" si="2"/>
        <v>3.8999999999999999E-4</v>
      </c>
      <c r="F18" s="2">
        <f t="shared" ref="F18:F23" si="3">B18+C18+D18+E18</f>
        <v>0.19905</v>
      </c>
      <c r="H18" s="6"/>
    </row>
    <row r="19" spans="1:9" x14ac:dyDescent="0.25">
      <c r="A19" s="1" t="s">
        <v>8</v>
      </c>
      <c r="B19" s="2">
        <f t="shared" ref="B19:E22" si="4">B5</f>
        <v>0.10772</v>
      </c>
      <c r="C19" s="2">
        <f t="shared" si="4"/>
        <v>3.0179999999999998E-2</v>
      </c>
      <c r="D19" s="2">
        <f t="shared" si="4"/>
        <v>6.0760000000000002E-2</v>
      </c>
      <c r="E19" s="2">
        <f t="shared" si="4"/>
        <v>3.8999999999999999E-4</v>
      </c>
      <c r="F19" s="2">
        <f t="shared" si="3"/>
        <v>0.19905</v>
      </c>
      <c r="H19" s="6" t="str">
        <f>H5</f>
        <v>29% discount applied to overall rate, no discount</v>
      </c>
      <c r="I19" t="s">
        <v>289</v>
      </c>
    </row>
    <row r="20" spans="1:9" x14ac:dyDescent="0.25">
      <c r="A20" s="1" t="s">
        <v>12</v>
      </c>
      <c r="B20" s="2">
        <f t="shared" si="4"/>
        <v>0.10772</v>
      </c>
      <c r="C20" s="2">
        <f t="shared" si="4"/>
        <v>2.6380000000000001E-2</v>
      </c>
      <c r="D20" s="2">
        <f t="shared" si="4"/>
        <v>7.3719999999999994E-2</v>
      </c>
      <c r="E20" s="2">
        <f t="shared" si="4"/>
        <v>6.6E-4</v>
      </c>
      <c r="F20" s="2">
        <f t="shared" si="3"/>
        <v>0.20848</v>
      </c>
      <c r="H20" s="6" t="s">
        <v>293</v>
      </c>
      <c r="I20" t="s">
        <v>294</v>
      </c>
    </row>
    <row r="21" spans="1:9" x14ac:dyDescent="0.25">
      <c r="A21" s="1" t="s">
        <v>6</v>
      </c>
      <c r="B21" s="2">
        <f t="shared" si="4"/>
        <v>0.10137</v>
      </c>
      <c r="C21" s="2">
        <f t="shared" si="4"/>
        <v>2.3140000000000001E-2</v>
      </c>
      <c r="D21" s="2">
        <f t="shared" si="4"/>
        <v>5.2720000000000003E-2</v>
      </c>
      <c r="E21" s="2">
        <f t="shared" si="4"/>
        <v>3.8000000000000002E-4</v>
      </c>
      <c r="F21" s="2">
        <f t="shared" si="3"/>
        <v>0.17760999999999999</v>
      </c>
      <c r="H21" s="6"/>
    </row>
    <row r="22" spans="1:9" x14ac:dyDescent="0.25">
      <c r="A22" s="1" t="s">
        <v>7</v>
      </c>
      <c r="B22" s="2">
        <f>B10</f>
        <v>9.332E-2</v>
      </c>
      <c r="C22" s="2">
        <f t="shared" si="4"/>
        <v>2.2370000000000001E-2</v>
      </c>
      <c r="D22" s="2">
        <f t="shared" si="4"/>
        <v>1.6549999999999999E-2</v>
      </c>
      <c r="E22" s="2">
        <f t="shared" si="4"/>
        <v>3.8000000000000002E-4</v>
      </c>
      <c r="F22" s="2">
        <f t="shared" si="3"/>
        <v>0.13261999999999999</v>
      </c>
      <c r="H22" s="6"/>
    </row>
    <row r="23" spans="1:9" x14ac:dyDescent="0.25">
      <c r="A23" s="1" t="s">
        <v>9</v>
      </c>
      <c r="B23" s="2">
        <f>B13</f>
        <v>9.332E-2</v>
      </c>
      <c r="C23" s="2">
        <f t="shared" ref="C23:E23" si="5">C11</f>
        <v>2.0760000000000001E-2</v>
      </c>
      <c r="D23" s="2">
        <f t="shared" si="5"/>
        <v>1.14E-2</v>
      </c>
      <c r="E23" s="2">
        <f t="shared" si="5"/>
        <v>4.4000000000000002E-4</v>
      </c>
      <c r="F23" s="2">
        <f t="shared" si="3"/>
        <v>0.12592</v>
      </c>
      <c r="H23" s="6" t="str">
        <f>H20</f>
        <v>Off-peak vs. on-peak? Summer vs. winter? Same as MECO</v>
      </c>
      <c r="I23" t="s">
        <v>294</v>
      </c>
    </row>
    <row r="24" spans="1:9" x14ac:dyDescent="0.25">
      <c r="A24" s="7"/>
      <c r="B24" s="11"/>
      <c r="C24" s="8"/>
      <c r="D24" s="12"/>
      <c r="E24" s="11"/>
      <c r="F24" s="12"/>
      <c r="G24" s="6"/>
      <c r="H24" s="6"/>
    </row>
    <row r="25" spans="1:9" x14ac:dyDescent="0.25">
      <c r="A25" s="9" t="s">
        <v>74</v>
      </c>
    </row>
    <row r="26" spans="1:9" x14ac:dyDescent="0.25">
      <c r="A26" t="s">
        <v>297</v>
      </c>
    </row>
    <row r="27" spans="1:9" x14ac:dyDescent="0.25">
      <c r="A27" t="s">
        <v>298</v>
      </c>
    </row>
    <row r="28" spans="1:9" x14ac:dyDescent="0.25">
      <c r="A28" t="s">
        <v>299</v>
      </c>
    </row>
    <row r="30" spans="1:9" x14ac:dyDescent="0.25">
      <c r="A30" s="9" t="s">
        <v>17</v>
      </c>
    </row>
    <row r="31" spans="1:9" x14ac:dyDescent="0.25">
      <c r="A31" s="14" t="s">
        <v>227</v>
      </c>
      <c r="B31" s="13"/>
      <c r="C31" s="10" t="s">
        <v>228</v>
      </c>
    </row>
    <row r="32" spans="1:9" x14ac:dyDescent="0.25">
      <c r="A32" s="14" t="s">
        <v>229</v>
      </c>
      <c r="B32" s="13"/>
      <c r="C32" s="119" t="s">
        <v>230</v>
      </c>
      <c r="D32" s="10"/>
    </row>
    <row r="33" spans="1:4" x14ac:dyDescent="0.25">
      <c r="A33" s="14" t="s">
        <v>231</v>
      </c>
      <c r="B33" s="13"/>
      <c r="C33" s="119" t="s">
        <v>232</v>
      </c>
      <c r="D33" s="10"/>
    </row>
    <row r="34" spans="1:4" x14ac:dyDescent="0.25">
      <c r="A34" s="14" t="s">
        <v>13</v>
      </c>
      <c r="B34" s="13"/>
      <c r="C34" s="10" t="s">
        <v>14</v>
      </c>
    </row>
    <row r="35" spans="1:4" x14ac:dyDescent="0.25">
      <c r="A35" s="14" t="s">
        <v>18</v>
      </c>
      <c r="B35" s="14"/>
      <c r="C35" s="10" t="s">
        <v>15</v>
      </c>
    </row>
    <row r="37" spans="1:4" x14ac:dyDescent="0.25">
      <c r="A37" s="18"/>
    </row>
  </sheetData>
  <sheetProtection password="C274" sheet="1" objects="1" scenarios="1"/>
  <mergeCells count="10">
    <mergeCell ref="A16:A17"/>
    <mergeCell ref="B16:B17"/>
    <mergeCell ref="C16:E16"/>
    <mergeCell ref="F16:F17"/>
    <mergeCell ref="A1:F1"/>
    <mergeCell ref="A2:A3"/>
    <mergeCell ref="B2:B3"/>
    <mergeCell ref="C2:E2"/>
    <mergeCell ref="F2:F3"/>
    <mergeCell ref="A15:F15"/>
  </mergeCells>
  <hyperlinks>
    <hyperlink ref="C34" r:id="rId1"/>
    <hyperlink ref="C35" r:id="rId2"/>
    <hyperlink ref="C31" r:id="rId3"/>
    <hyperlink ref="C32" r:id="rId4"/>
    <hyperlink ref="C33" r:id="rId5"/>
  </hyperlinks>
  <pageMargins left="0.7" right="0.7" top="0.75" bottom="0.75" header="0.3" footer="0.3"/>
  <pageSetup scale="36" orientation="portrait"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0"/>
  <sheetViews>
    <sheetView workbookViewId="0">
      <selection sqref="A1:A15"/>
    </sheetView>
  </sheetViews>
  <sheetFormatPr defaultRowHeight="15" x14ac:dyDescent="0.25"/>
  <cols>
    <col min="2" max="2" width="23.7109375" bestFit="1" customWidth="1"/>
    <col min="3" max="3" width="16.140625" customWidth="1"/>
    <col min="4" max="4" width="15.42578125" customWidth="1"/>
    <col min="5" max="5" width="14.85546875" customWidth="1"/>
    <col min="6" max="6" width="12.85546875" customWidth="1"/>
    <col min="7" max="7" width="11.5703125" customWidth="1"/>
    <col min="8" max="8" width="14.28515625" bestFit="1" customWidth="1"/>
    <col min="9" max="9" width="14.5703125" bestFit="1" customWidth="1"/>
    <col min="10" max="10" width="11" bestFit="1" customWidth="1"/>
    <col min="11" max="11" width="11.5703125" bestFit="1" customWidth="1"/>
    <col min="12" max="12" width="11.28515625" customWidth="1"/>
    <col min="13" max="13" width="12.85546875" bestFit="1" customWidth="1"/>
    <col min="14" max="14" width="11" bestFit="1" customWidth="1"/>
    <col min="15" max="15" width="14.5703125" bestFit="1" customWidth="1"/>
  </cols>
  <sheetData>
    <row r="1" spans="1:16" x14ac:dyDescent="0.25">
      <c r="A1" s="218" t="s">
        <v>42</v>
      </c>
      <c r="B1" s="221" t="s">
        <v>44</v>
      </c>
      <c r="C1" s="222"/>
      <c r="D1" s="222"/>
      <c r="E1" s="222"/>
      <c r="F1" s="222"/>
      <c r="G1" s="222"/>
      <c r="H1" s="222"/>
      <c r="I1" s="222"/>
      <c r="J1" s="21"/>
      <c r="K1" s="21"/>
      <c r="L1" s="21"/>
      <c r="M1" s="21"/>
      <c r="N1" s="21"/>
      <c r="O1" s="22"/>
    </row>
    <row r="2" spans="1:16" x14ac:dyDescent="0.25">
      <c r="A2" s="219"/>
      <c r="B2" s="38" t="s">
        <v>40</v>
      </c>
      <c r="C2" s="25" t="s">
        <v>28</v>
      </c>
      <c r="D2" s="25" t="s">
        <v>29</v>
      </c>
      <c r="E2" s="25" t="s">
        <v>25</v>
      </c>
      <c r="F2" s="25" t="s">
        <v>24</v>
      </c>
      <c r="G2" s="25" t="s">
        <v>23</v>
      </c>
      <c r="H2" s="25" t="s">
        <v>22</v>
      </c>
      <c r="I2" s="25" t="s">
        <v>21</v>
      </c>
      <c r="J2" s="23"/>
      <c r="K2" s="227" t="s">
        <v>47</v>
      </c>
      <c r="L2" s="227"/>
      <c r="M2" s="227"/>
      <c r="N2" s="227"/>
      <c r="O2" s="228"/>
    </row>
    <row r="3" spans="1:16" x14ac:dyDescent="0.25">
      <c r="A3" s="219"/>
      <c r="B3" s="39" t="s">
        <v>41</v>
      </c>
      <c r="C3" s="197">
        <v>0.1234</v>
      </c>
      <c r="D3" s="197">
        <v>9.9339999999999998E-2</v>
      </c>
      <c r="E3" s="197">
        <v>9.7040000000000001E-2</v>
      </c>
      <c r="F3" s="197">
        <v>7.8780000000000003E-2</v>
      </c>
      <c r="G3" s="197">
        <v>0.12239000000000001</v>
      </c>
      <c r="H3" s="197">
        <v>0.11191000000000001</v>
      </c>
      <c r="I3" s="197">
        <f>AVERAGE(C3:H3)</f>
        <v>0.10547666666666666</v>
      </c>
      <c r="J3" s="23"/>
      <c r="K3" s="174" t="s">
        <v>75</v>
      </c>
      <c r="L3" s="174">
        <v>2015</v>
      </c>
      <c r="M3" s="174">
        <v>2016</v>
      </c>
      <c r="N3" s="174">
        <v>2017</v>
      </c>
      <c r="O3" s="34" t="s">
        <v>21</v>
      </c>
    </row>
    <row r="4" spans="1:16" x14ac:dyDescent="0.25">
      <c r="A4" s="219"/>
      <c r="B4" s="40"/>
      <c r="C4" s="23"/>
      <c r="D4" s="23"/>
      <c r="E4" s="23"/>
      <c r="F4" s="23"/>
      <c r="G4" s="23"/>
      <c r="H4" s="23"/>
      <c r="I4" s="23"/>
      <c r="J4" s="23"/>
      <c r="K4" s="174" t="s">
        <v>52</v>
      </c>
      <c r="L4" s="194">
        <v>9.7989999999999994E-2</v>
      </c>
      <c r="M4" s="194">
        <v>7.2999999999999995E-2</v>
      </c>
      <c r="N4" s="194">
        <v>8.9090000000000003E-2</v>
      </c>
      <c r="O4" s="193">
        <f>AVERAGE(L4:N15)</f>
        <v>7.5405555555555573E-2</v>
      </c>
    </row>
    <row r="5" spans="1:16" x14ac:dyDescent="0.25">
      <c r="A5" s="219"/>
      <c r="B5" s="223" t="s">
        <v>45</v>
      </c>
      <c r="C5" s="217"/>
      <c r="D5" s="217"/>
      <c r="E5" s="217"/>
      <c r="F5" s="217"/>
      <c r="G5" s="217"/>
      <c r="H5" s="217"/>
      <c r="I5" s="217"/>
      <c r="J5" s="23"/>
      <c r="K5" s="174" t="s">
        <v>53</v>
      </c>
      <c r="L5" s="194">
        <v>0.17104</v>
      </c>
      <c r="M5" s="194">
        <v>6.2850000000000003E-2</v>
      </c>
      <c r="N5" s="194">
        <v>8.0399999999999999E-2</v>
      </c>
      <c r="O5" s="28"/>
    </row>
    <row r="6" spans="1:16" x14ac:dyDescent="0.25">
      <c r="A6" s="219"/>
      <c r="B6" s="38" t="s">
        <v>40</v>
      </c>
      <c r="C6" s="25" t="s">
        <v>28</v>
      </c>
      <c r="D6" s="25" t="s">
        <v>29</v>
      </c>
      <c r="E6" s="25" t="s">
        <v>25</v>
      </c>
      <c r="F6" s="25" t="s">
        <v>24</v>
      </c>
      <c r="G6" s="25" t="s">
        <v>23</v>
      </c>
      <c r="H6" s="25" t="s">
        <v>22</v>
      </c>
      <c r="I6" s="25" t="s">
        <v>21</v>
      </c>
      <c r="J6" s="23"/>
      <c r="K6" s="174" t="s">
        <v>54</v>
      </c>
      <c r="L6" s="194">
        <v>0.10095</v>
      </c>
      <c r="M6" s="194">
        <v>5.1020000000000003E-2</v>
      </c>
      <c r="N6" s="194">
        <v>8.9160000000000003E-2</v>
      </c>
      <c r="O6" s="28"/>
    </row>
    <row r="7" spans="1:16" x14ac:dyDescent="0.25">
      <c r="A7" s="219"/>
      <c r="B7" s="39" t="s">
        <v>41</v>
      </c>
      <c r="C7" s="197">
        <v>0.1234</v>
      </c>
      <c r="D7" s="197">
        <v>9.9339999999999998E-2</v>
      </c>
      <c r="E7" s="197">
        <v>9.7040000000000001E-2</v>
      </c>
      <c r="F7" s="197">
        <v>7.8780000000000003E-2</v>
      </c>
      <c r="G7" s="197">
        <v>0.12239000000000001</v>
      </c>
      <c r="H7" s="197">
        <v>0.11191000000000001</v>
      </c>
      <c r="I7" s="197">
        <f>AVERAGE(C7:H7)</f>
        <v>0.10547666666666666</v>
      </c>
      <c r="J7" s="23"/>
      <c r="K7" s="174" t="s">
        <v>55</v>
      </c>
      <c r="L7" s="194">
        <v>6.1490000000000003E-2</v>
      </c>
      <c r="M7" s="194">
        <v>6.164E-2</v>
      </c>
      <c r="N7" s="194">
        <v>8.2290000000000002E-2</v>
      </c>
      <c r="O7" s="28"/>
    </row>
    <row r="8" spans="1:16" s="6" customFormat="1" x14ac:dyDescent="0.25">
      <c r="A8" s="219"/>
      <c r="B8" s="41"/>
      <c r="C8" s="26"/>
      <c r="D8" s="26"/>
      <c r="E8" s="26"/>
      <c r="F8" s="26"/>
      <c r="G8" s="26"/>
      <c r="H8" s="26"/>
      <c r="I8" s="26"/>
      <c r="J8" s="23"/>
      <c r="K8" s="174" t="s">
        <v>56</v>
      </c>
      <c r="L8" s="194">
        <v>5.4949999999999999E-2</v>
      </c>
      <c r="M8" s="194">
        <v>5.5870000000000003E-2</v>
      </c>
      <c r="N8" s="194">
        <v>8.4570000000000006E-2</v>
      </c>
      <c r="O8" s="28"/>
    </row>
    <row r="9" spans="1:16" s="6" customFormat="1" x14ac:dyDescent="0.25">
      <c r="A9" s="219"/>
      <c r="B9" s="223" t="s">
        <v>46</v>
      </c>
      <c r="C9" s="217"/>
      <c r="D9" s="217"/>
      <c r="E9" s="217"/>
      <c r="F9" s="217"/>
      <c r="G9" s="217"/>
      <c r="H9" s="217"/>
      <c r="I9" s="217"/>
      <c r="J9" s="23"/>
      <c r="K9" s="174" t="s">
        <v>57</v>
      </c>
      <c r="L9" s="194">
        <v>5.5140000000000002E-2</v>
      </c>
      <c r="M9" s="194">
        <v>5.5599999999999997E-2</v>
      </c>
      <c r="N9" s="194">
        <v>6.4799999999999996E-2</v>
      </c>
      <c r="O9" s="28"/>
    </row>
    <row r="10" spans="1:16" s="6" customFormat="1" x14ac:dyDescent="0.25">
      <c r="A10" s="219"/>
      <c r="B10" s="38" t="s">
        <v>40</v>
      </c>
      <c r="C10" s="25" t="s">
        <v>28</v>
      </c>
      <c r="D10" s="25" t="s">
        <v>29</v>
      </c>
      <c r="E10" s="25" t="s">
        <v>25</v>
      </c>
      <c r="F10" s="25" t="s">
        <v>24</v>
      </c>
      <c r="G10" s="25" t="s">
        <v>23</v>
      </c>
      <c r="H10" s="25" t="s">
        <v>22</v>
      </c>
      <c r="I10" s="25" t="s">
        <v>21</v>
      </c>
      <c r="J10" s="23"/>
      <c r="K10" s="174" t="s">
        <v>58</v>
      </c>
      <c r="L10" s="194">
        <v>5.6520000000000001E-2</v>
      </c>
      <c r="M10" s="194">
        <v>6.5740000000000007E-2</v>
      </c>
      <c r="N10" s="194">
        <v>6.2390000000000001E-2</v>
      </c>
      <c r="O10" s="28"/>
      <c r="P10" s="136"/>
    </row>
    <row r="11" spans="1:16" s="6" customFormat="1" x14ac:dyDescent="0.25">
      <c r="A11" s="219"/>
      <c r="B11" s="39" t="s">
        <v>41</v>
      </c>
      <c r="C11" s="197">
        <v>0.10846</v>
      </c>
      <c r="D11" s="197">
        <v>8.6739999999999998E-2</v>
      </c>
      <c r="E11" s="197">
        <v>8.7989999999999999E-2</v>
      </c>
      <c r="F11" s="197">
        <v>7.3459999999999998E-2</v>
      </c>
      <c r="G11" s="197">
        <v>0.10863</v>
      </c>
      <c r="H11" s="197">
        <v>0.10066</v>
      </c>
      <c r="I11" s="197">
        <f>AVERAGE(C11:H11)</f>
        <v>9.4323333333333328E-2</v>
      </c>
      <c r="J11" s="23"/>
      <c r="K11" s="174" t="s">
        <v>59</v>
      </c>
      <c r="L11" s="194">
        <v>7.1459999999999996E-2</v>
      </c>
      <c r="M11" s="194">
        <v>8.4760000000000002E-2</v>
      </c>
      <c r="N11" s="194">
        <v>6.2379999999999998E-2</v>
      </c>
      <c r="O11" s="28"/>
      <c r="P11" s="17"/>
    </row>
    <row r="12" spans="1:16" s="6" customFormat="1" x14ac:dyDescent="0.25">
      <c r="A12" s="219"/>
      <c r="B12" s="40"/>
      <c r="C12" s="23"/>
      <c r="D12" s="23"/>
      <c r="E12" s="23"/>
      <c r="F12" s="23"/>
      <c r="G12" s="23"/>
      <c r="H12" s="23"/>
      <c r="I12" s="23"/>
      <c r="J12" s="23"/>
      <c r="K12" s="174" t="s">
        <v>60</v>
      </c>
      <c r="L12" s="194">
        <v>6.7960000000000007E-2</v>
      </c>
      <c r="M12" s="194">
        <v>7.1239999999999998E-2</v>
      </c>
      <c r="N12" s="194">
        <v>6.2030000000000002E-2</v>
      </c>
      <c r="O12" s="28"/>
      <c r="P12" s="17"/>
    </row>
    <row r="13" spans="1:16" x14ac:dyDescent="0.25">
      <c r="A13" s="219"/>
      <c r="B13" s="42"/>
      <c r="C13" s="35"/>
      <c r="D13" s="35"/>
      <c r="E13" s="35"/>
      <c r="F13" s="35"/>
      <c r="G13" s="35"/>
      <c r="H13" s="35"/>
      <c r="I13" s="35"/>
      <c r="J13" s="23"/>
      <c r="K13" s="174" t="s">
        <v>61</v>
      </c>
      <c r="L13" s="194">
        <v>6.8599999999999994E-2</v>
      </c>
      <c r="M13" s="194">
        <v>6.7390000000000005E-2</v>
      </c>
      <c r="N13" s="194">
        <v>8.5580000000000003E-2</v>
      </c>
      <c r="O13" s="28"/>
    </row>
    <row r="14" spans="1:16" x14ac:dyDescent="0.25">
      <c r="A14" s="219"/>
      <c r="B14" s="43"/>
      <c r="C14" s="36"/>
      <c r="D14" s="37"/>
      <c r="E14" s="37"/>
      <c r="F14" s="37"/>
      <c r="G14" s="36"/>
      <c r="H14" s="37"/>
      <c r="I14" s="37"/>
      <c r="J14" s="23"/>
      <c r="K14" s="174" t="s">
        <v>62</v>
      </c>
      <c r="L14" s="194">
        <v>6.2829999999999997E-2</v>
      </c>
      <c r="M14" s="194">
        <v>6.8440000000000001E-2</v>
      </c>
      <c r="N14" s="194">
        <v>8.4489999999999996E-2</v>
      </c>
      <c r="O14" s="28"/>
    </row>
    <row r="15" spans="1:16" ht="15.75" thickBot="1" x14ac:dyDescent="0.3">
      <c r="A15" s="220"/>
      <c r="B15" s="44"/>
      <c r="C15" s="45"/>
      <c r="D15" s="45"/>
      <c r="E15" s="45"/>
      <c r="F15" s="45"/>
      <c r="G15" s="45"/>
      <c r="H15" s="45"/>
      <c r="I15" s="45"/>
      <c r="J15" s="27"/>
      <c r="K15" s="195" t="s">
        <v>63</v>
      </c>
      <c r="L15" s="196">
        <v>5.5660000000000001E-2</v>
      </c>
      <c r="M15" s="196">
        <v>0.10602</v>
      </c>
      <c r="N15" s="196">
        <v>0.11926</v>
      </c>
      <c r="O15" s="29"/>
    </row>
    <row r="16" spans="1:16" ht="15.75" thickBot="1" x14ac:dyDescent="0.3"/>
    <row r="17" spans="1:15" x14ac:dyDescent="0.25">
      <c r="A17" s="218" t="s">
        <v>77</v>
      </c>
      <c r="B17" s="221" t="s">
        <v>30</v>
      </c>
      <c r="C17" s="222"/>
      <c r="D17" s="222"/>
      <c r="E17" s="222"/>
      <c r="F17" s="222"/>
      <c r="G17" s="222"/>
      <c r="H17" s="222"/>
      <c r="I17" s="222"/>
      <c r="J17" s="21"/>
      <c r="K17" s="21"/>
      <c r="L17" s="21"/>
      <c r="M17" s="21"/>
      <c r="N17" s="21"/>
      <c r="O17" s="22"/>
    </row>
    <row r="18" spans="1:15" x14ac:dyDescent="0.25">
      <c r="A18" s="219"/>
      <c r="B18" s="46" t="s">
        <v>79</v>
      </c>
      <c r="C18" s="25" t="s">
        <v>263</v>
      </c>
      <c r="D18" s="25" t="s">
        <v>264</v>
      </c>
      <c r="E18" s="25" t="s">
        <v>265</v>
      </c>
      <c r="F18" s="25" t="s">
        <v>266</v>
      </c>
      <c r="G18" s="25" t="s">
        <v>267</v>
      </c>
      <c r="H18" s="25" t="s">
        <v>268</v>
      </c>
      <c r="I18" s="25" t="s">
        <v>21</v>
      </c>
      <c r="J18" s="23"/>
      <c r="K18" s="23"/>
      <c r="L18" s="23"/>
      <c r="M18" s="23"/>
      <c r="N18" s="23"/>
      <c r="O18" s="24"/>
    </row>
    <row r="19" spans="1:15" x14ac:dyDescent="0.25">
      <c r="A19" s="219"/>
      <c r="B19" s="49" t="s">
        <v>81</v>
      </c>
      <c r="C19" s="129">
        <v>0.10759000000000001</v>
      </c>
      <c r="D19" s="129">
        <v>0.10317999999999999</v>
      </c>
      <c r="E19" s="129">
        <v>8.208E-2</v>
      </c>
      <c r="F19" s="129">
        <v>0.10843999999999999</v>
      </c>
      <c r="G19" s="130">
        <v>0.10050000000000001</v>
      </c>
      <c r="H19" s="130">
        <v>0.15046000000000001</v>
      </c>
      <c r="I19" s="130">
        <f>ROUND(AVERAGE(C19:H19),5)</f>
        <v>0.10871</v>
      </c>
      <c r="J19" s="23"/>
      <c r="K19" s="23"/>
      <c r="L19" s="23"/>
      <c r="M19" s="23"/>
      <c r="N19" s="23"/>
      <c r="O19" s="24"/>
    </row>
    <row r="20" spans="1:15" x14ac:dyDescent="0.25">
      <c r="A20" s="219"/>
      <c r="B20" s="49" t="s">
        <v>80</v>
      </c>
      <c r="C20" s="129">
        <v>8.5629999999999998E-2</v>
      </c>
      <c r="D20" s="129">
        <v>9.1259999999999994E-2</v>
      </c>
      <c r="E20" s="129">
        <v>7.7079999999999996E-2</v>
      </c>
      <c r="F20" s="129">
        <v>0.10426000000000001</v>
      </c>
      <c r="G20" s="129">
        <v>9.7670000000000007E-2</v>
      </c>
      <c r="H20" s="129">
        <v>0.14227999999999999</v>
      </c>
      <c r="I20" s="130">
        <f>ROUND(AVERAGE(C20:H20),5)</f>
        <v>9.9699999999999997E-2</v>
      </c>
      <c r="J20" s="23"/>
      <c r="K20" s="23"/>
      <c r="L20" s="23"/>
      <c r="M20" s="23"/>
      <c r="N20" s="23"/>
      <c r="O20" s="24"/>
    </row>
    <row r="21" spans="1:15" x14ac:dyDescent="0.25">
      <c r="A21" s="219"/>
      <c r="B21" s="40"/>
      <c r="C21" s="23"/>
      <c r="D21" s="23"/>
      <c r="E21" s="23"/>
      <c r="F21" s="23"/>
      <c r="G21" s="23"/>
      <c r="H21" s="23"/>
      <c r="I21" s="23"/>
      <c r="J21" s="23"/>
      <c r="K21" s="23"/>
      <c r="L21" s="23"/>
      <c r="M21" s="23"/>
      <c r="N21" s="23"/>
      <c r="O21" s="24"/>
    </row>
    <row r="22" spans="1:15" x14ac:dyDescent="0.25">
      <c r="A22" s="219"/>
      <c r="B22" s="223" t="s">
        <v>31</v>
      </c>
      <c r="C22" s="217"/>
      <c r="D22" s="217"/>
      <c r="E22" s="217"/>
      <c r="F22" s="217"/>
      <c r="G22" s="217"/>
      <c r="H22" s="217"/>
      <c r="I22" s="217"/>
      <c r="J22" s="23"/>
      <c r="K22" s="23"/>
      <c r="L22" s="23"/>
      <c r="M22" s="23"/>
      <c r="N22" s="23"/>
      <c r="O22" s="24"/>
    </row>
    <row r="23" spans="1:15" x14ac:dyDescent="0.25">
      <c r="A23" s="219"/>
      <c r="B23" s="176" t="s">
        <v>79</v>
      </c>
      <c r="C23" s="25" t="s">
        <v>263</v>
      </c>
      <c r="D23" s="25" t="s">
        <v>264</v>
      </c>
      <c r="E23" s="25" t="s">
        <v>265</v>
      </c>
      <c r="F23" s="25" t="s">
        <v>266</v>
      </c>
      <c r="G23" s="25" t="s">
        <v>267</v>
      </c>
      <c r="H23" s="25" t="s">
        <v>269</v>
      </c>
      <c r="I23" s="25" t="s">
        <v>21</v>
      </c>
      <c r="J23" s="23"/>
      <c r="K23" s="23"/>
      <c r="L23" s="23"/>
      <c r="M23" s="23"/>
      <c r="N23" s="23"/>
      <c r="O23" s="24"/>
    </row>
    <row r="24" spans="1:15" x14ac:dyDescent="0.25">
      <c r="A24" s="219"/>
      <c r="B24" s="49" t="s">
        <v>81</v>
      </c>
      <c r="C24" s="129">
        <v>0.10764</v>
      </c>
      <c r="D24" s="129">
        <v>0.10032999999999999</v>
      </c>
      <c r="E24" s="129">
        <v>8.0710000000000004E-2</v>
      </c>
      <c r="F24" s="130">
        <v>0.1061</v>
      </c>
      <c r="G24" s="130">
        <v>9.8680000000000004E-2</v>
      </c>
      <c r="H24" s="129">
        <v>0.14501</v>
      </c>
      <c r="I24" s="130">
        <f>ROUND(AVERAGE(C24:H24),5)</f>
        <v>0.10641</v>
      </c>
      <c r="J24" s="23"/>
      <c r="K24" s="23"/>
      <c r="L24" s="23"/>
      <c r="M24" s="23"/>
      <c r="N24" s="23"/>
      <c r="O24" s="24"/>
    </row>
    <row r="25" spans="1:15" x14ac:dyDescent="0.25">
      <c r="A25" s="219"/>
      <c r="B25" s="49" t="s">
        <v>80</v>
      </c>
      <c r="C25" s="129">
        <v>9.3090000000000006E-2</v>
      </c>
      <c r="D25" s="129">
        <v>9.3310000000000004E-2</v>
      </c>
      <c r="E25" s="130">
        <v>7.8899999999999998E-2</v>
      </c>
      <c r="F25" s="129">
        <v>0.10641</v>
      </c>
      <c r="G25" s="129">
        <v>9.9379999999999996E-2</v>
      </c>
      <c r="H25" s="129">
        <v>0.14430999999999999</v>
      </c>
      <c r="I25" s="130">
        <f>ROUND(AVERAGE(C25:H25),5)</f>
        <v>0.10256999999999999</v>
      </c>
      <c r="J25" s="23"/>
      <c r="K25" s="23"/>
      <c r="L25" s="23"/>
      <c r="M25" s="23"/>
      <c r="N25" s="23"/>
      <c r="O25" s="24"/>
    </row>
    <row r="26" spans="1:15" x14ac:dyDescent="0.25">
      <c r="A26" s="219"/>
      <c r="B26" s="40"/>
      <c r="C26" s="23"/>
      <c r="D26" s="23"/>
      <c r="E26" s="23"/>
      <c r="F26" s="23"/>
      <c r="G26" s="23"/>
      <c r="H26" s="23"/>
      <c r="I26" s="23"/>
      <c r="J26" s="23"/>
      <c r="K26" s="23"/>
      <c r="L26" s="23"/>
      <c r="M26" s="23"/>
      <c r="N26" s="23"/>
      <c r="O26" s="24"/>
    </row>
    <row r="27" spans="1:15" x14ac:dyDescent="0.25">
      <c r="A27" s="219"/>
      <c r="B27" s="224" t="s">
        <v>78</v>
      </c>
      <c r="C27" s="225"/>
      <c r="D27" s="225"/>
      <c r="E27" s="225"/>
      <c r="F27" s="225"/>
      <c r="G27" s="225"/>
      <c r="H27" s="225"/>
      <c r="I27" s="225"/>
      <c r="J27" s="225"/>
      <c r="K27" s="225"/>
      <c r="L27" s="225"/>
      <c r="M27" s="225"/>
      <c r="N27" s="225"/>
      <c r="O27" s="226"/>
    </row>
    <row r="28" spans="1:15" s="6" customFormat="1" x14ac:dyDescent="0.25">
      <c r="A28" s="219"/>
      <c r="B28" s="176" t="s">
        <v>79</v>
      </c>
      <c r="C28" s="178" t="s">
        <v>270</v>
      </c>
      <c r="D28" s="177" t="s">
        <v>271</v>
      </c>
      <c r="E28" s="177" t="s">
        <v>272</v>
      </c>
      <c r="F28" s="177" t="s">
        <v>273</v>
      </c>
      <c r="G28" s="178" t="s">
        <v>274</v>
      </c>
      <c r="H28" s="177" t="s">
        <v>275</v>
      </c>
      <c r="I28" s="177" t="s">
        <v>276</v>
      </c>
      <c r="J28" s="177" t="s">
        <v>277</v>
      </c>
      <c r="K28" s="177" t="s">
        <v>278</v>
      </c>
      <c r="L28" s="177" t="s">
        <v>279</v>
      </c>
      <c r="M28" s="177" t="s">
        <v>280</v>
      </c>
      <c r="N28" s="177" t="s">
        <v>281</v>
      </c>
      <c r="O28" s="179" t="s">
        <v>21</v>
      </c>
    </row>
    <row r="29" spans="1:15" x14ac:dyDescent="0.25">
      <c r="A29" s="219"/>
      <c r="B29" s="47" t="s">
        <v>20</v>
      </c>
      <c r="C29" s="15">
        <v>0.11784</v>
      </c>
      <c r="D29" s="15">
        <v>0.10834000000000001</v>
      </c>
      <c r="E29" s="15">
        <v>8.6849999999999997E-2</v>
      </c>
      <c r="F29" s="15">
        <v>0.11001999999999999</v>
      </c>
      <c r="G29" s="15">
        <v>7.9070000000000001E-2</v>
      </c>
      <c r="H29" s="131">
        <v>7.6700000000000004E-2</v>
      </c>
      <c r="I29" s="15">
        <v>6.9849999999999995E-2</v>
      </c>
      <c r="J29" s="15">
        <v>0.10841000000000001</v>
      </c>
      <c r="K29" s="131">
        <v>9.4299999999999995E-2</v>
      </c>
      <c r="L29" s="15">
        <v>8.0049999999999996E-2</v>
      </c>
      <c r="M29" s="15">
        <v>7.5420000000000001E-2</v>
      </c>
      <c r="N29" s="15">
        <v>0.20322000000000001</v>
      </c>
      <c r="O29" s="132">
        <f>ROUND(AVERAGE(C29:N29),5)</f>
        <v>0.10084</v>
      </c>
    </row>
    <row r="30" spans="1:15" x14ac:dyDescent="0.25">
      <c r="A30" s="219"/>
      <c r="B30" s="47" t="s">
        <v>19</v>
      </c>
      <c r="C30" s="15">
        <v>9.0040000000000009E-2</v>
      </c>
      <c r="D30" s="15">
        <v>8.4440000000000001E-2</v>
      </c>
      <c r="E30" s="15">
        <v>7.6310000000000003E-2</v>
      </c>
      <c r="F30" s="15">
        <v>0.10143999999999999</v>
      </c>
      <c r="G30" s="15">
        <v>7.3760000000000006E-2</v>
      </c>
      <c r="H30" s="15">
        <v>6.8629999999999997E-2</v>
      </c>
      <c r="I30" s="15">
        <v>6.3909999999999995E-2</v>
      </c>
      <c r="J30" s="15">
        <v>0.10358000000000001</v>
      </c>
      <c r="K30" s="15">
        <v>9.307E-2</v>
      </c>
      <c r="L30" s="15">
        <v>7.8039999999999998E-2</v>
      </c>
      <c r="M30" s="15">
        <v>7.0550000000000002E-2</v>
      </c>
      <c r="N30" s="15">
        <v>0.20244000000000001</v>
      </c>
      <c r="O30" s="132">
        <f>ROUND(AVERAGE(C30:N30),5)</f>
        <v>9.2179999999999998E-2</v>
      </c>
    </row>
    <row r="31" spans="1:15" ht="15.75" thickBot="1" x14ac:dyDescent="0.3">
      <c r="A31" s="220"/>
      <c r="B31" s="48" t="s">
        <v>80</v>
      </c>
      <c r="C31" s="133">
        <v>9.6170000000000005E-2</v>
      </c>
      <c r="D31" s="133">
        <v>8.4169999999999995E-2</v>
      </c>
      <c r="E31" s="133">
        <v>7.3179999999999995E-2</v>
      </c>
      <c r="F31" s="133">
        <v>0.10165</v>
      </c>
      <c r="G31" s="133">
        <v>7.1559999999999999E-2</v>
      </c>
      <c r="H31" s="134">
        <v>7.0699999999999999E-2</v>
      </c>
      <c r="I31" s="133">
        <v>6.9120000000000001E-2</v>
      </c>
      <c r="J31" s="133">
        <v>0.11982</v>
      </c>
      <c r="K31" s="133">
        <v>9.8479999999999998E-2</v>
      </c>
      <c r="L31" s="133">
        <v>7.7679999999999999E-2</v>
      </c>
      <c r="M31" s="133">
        <v>7.2040000000000007E-2</v>
      </c>
      <c r="N31" s="133">
        <v>0.21862999999999999</v>
      </c>
      <c r="O31" s="135">
        <f>ROUND(AVERAGE(C31:N31),5)</f>
        <v>9.6100000000000005E-2</v>
      </c>
    </row>
    <row r="33" spans="1:12" ht="15.75" thickBot="1" x14ac:dyDescent="0.3">
      <c r="A33" s="27"/>
      <c r="B33" s="23"/>
      <c r="C33" s="23"/>
      <c r="D33" s="23"/>
      <c r="E33" s="23"/>
      <c r="F33" s="23"/>
      <c r="G33" s="23"/>
      <c r="H33" s="23"/>
      <c r="I33" s="23"/>
      <c r="J33" s="23"/>
      <c r="K33" s="23"/>
      <c r="L33" s="23"/>
    </row>
    <row r="34" spans="1:12" ht="15" customHeight="1" x14ac:dyDescent="0.25">
      <c r="A34" s="229" t="s">
        <v>43</v>
      </c>
      <c r="B34" s="221" t="s">
        <v>305</v>
      </c>
      <c r="C34" s="222"/>
      <c r="D34" s="222"/>
      <c r="E34" s="222"/>
      <c r="F34" s="222"/>
      <c r="G34" s="181"/>
      <c r="H34" s="222" t="s">
        <v>306</v>
      </c>
      <c r="I34" s="222"/>
      <c r="J34" s="222"/>
      <c r="K34" s="222"/>
      <c r="L34" s="232"/>
    </row>
    <row r="35" spans="1:12" x14ac:dyDescent="0.25">
      <c r="A35" s="230"/>
      <c r="B35" s="176" t="s">
        <v>75</v>
      </c>
      <c r="C35" s="175">
        <v>2015</v>
      </c>
      <c r="D35" s="175">
        <v>2016</v>
      </c>
      <c r="E35" s="175">
        <v>2017</v>
      </c>
      <c r="F35" s="175" t="s">
        <v>304</v>
      </c>
      <c r="G35" s="180"/>
      <c r="H35" s="175" t="s">
        <v>75</v>
      </c>
      <c r="I35" s="175">
        <v>2015</v>
      </c>
      <c r="J35" s="175">
        <v>2016</v>
      </c>
      <c r="K35" s="175">
        <v>2017</v>
      </c>
      <c r="L35" s="185" t="s">
        <v>304</v>
      </c>
    </row>
    <row r="36" spans="1:12" x14ac:dyDescent="0.25">
      <c r="A36" s="230"/>
      <c r="B36" s="39" t="s">
        <v>52</v>
      </c>
      <c r="C36" s="129">
        <v>0.16273000000000001</v>
      </c>
      <c r="D36" s="129">
        <v>0.13038</v>
      </c>
      <c r="E36" s="129">
        <v>9.7869999999999999E-2</v>
      </c>
      <c r="F36" s="130">
        <f>TRUNC(AVERAGE(C48:E48),5)</f>
        <v>0.10772</v>
      </c>
      <c r="G36" s="180"/>
      <c r="H36" s="129" t="s">
        <v>52</v>
      </c>
      <c r="I36" s="129">
        <v>0.15228</v>
      </c>
      <c r="J36" s="129">
        <v>0.12619</v>
      </c>
      <c r="K36" s="129">
        <v>9.0939999999999993E-2</v>
      </c>
      <c r="L36" s="132">
        <f>TRUNC(AVERAGE(I48:K48),5)</f>
        <v>0.10137</v>
      </c>
    </row>
    <row r="37" spans="1:12" x14ac:dyDescent="0.25">
      <c r="A37" s="230"/>
      <c r="B37" s="184" t="s">
        <v>53</v>
      </c>
      <c r="C37" s="183">
        <v>0.16273000000000001</v>
      </c>
      <c r="D37" s="183">
        <v>0.13038</v>
      </c>
      <c r="E37" s="183">
        <v>9.7869999999999999E-2</v>
      </c>
      <c r="F37" s="180"/>
      <c r="G37" s="180"/>
      <c r="H37" s="183" t="s">
        <v>53</v>
      </c>
      <c r="I37" s="183">
        <v>0.15228</v>
      </c>
      <c r="J37" s="183">
        <v>0.12619</v>
      </c>
      <c r="K37" s="183">
        <v>9.0939999999999993E-2</v>
      </c>
      <c r="L37" s="182"/>
    </row>
    <row r="38" spans="1:12" x14ac:dyDescent="0.25">
      <c r="A38" s="230"/>
      <c r="B38" s="39" t="s">
        <v>54</v>
      </c>
      <c r="C38" s="129">
        <v>0.16273000000000001</v>
      </c>
      <c r="D38" s="129">
        <v>0.13038</v>
      </c>
      <c r="E38" s="129">
        <v>9.7869999999999999E-2</v>
      </c>
      <c r="F38" s="180"/>
      <c r="G38" s="180"/>
      <c r="H38" s="129" t="s">
        <v>54</v>
      </c>
      <c r="I38" s="129">
        <v>0.15228</v>
      </c>
      <c r="J38" s="129">
        <v>0.12619</v>
      </c>
      <c r="K38" s="129">
        <v>9.0939999999999993E-2</v>
      </c>
      <c r="L38" s="182"/>
    </row>
    <row r="39" spans="1:12" x14ac:dyDescent="0.25">
      <c r="A39" s="230"/>
      <c r="B39" s="39" t="s">
        <v>55</v>
      </c>
      <c r="C39" s="129">
        <v>0.16273000000000001</v>
      </c>
      <c r="D39" s="129">
        <v>0.13038</v>
      </c>
      <c r="E39" s="129">
        <v>9.7869999999999999E-2</v>
      </c>
      <c r="F39" s="180"/>
      <c r="G39" s="180"/>
      <c r="H39" s="129" t="s">
        <v>55</v>
      </c>
      <c r="I39" s="129">
        <v>0.15228</v>
      </c>
      <c r="J39" s="129">
        <v>0.12619</v>
      </c>
      <c r="K39" s="129">
        <v>9.0939999999999993E-2</v>
      </c>
      <c r="L39" s="182"/>
    </row>
    <row r="40" spans="1:12" x14ac:dyDescent="0.25">
      <c r="A40" s="230"/>
      <c r="B40" s="39" t="s">
        <v>56</v>
      </c>
      <c r="C40" s="129">
        <v>9.257E-2</v>
      </c>
      <c r="D40" s="129">
        <v>8.0420000000000005E-2</v>
      </c>
      <c r="E40" s="129">
        <v>9.4320000000000001E-2</v>
      </c>
      <c r="F40" s="180"/>
      <c r="G40" s="180"/>
      <c r="H40" s="129" t="s">
        <v>56</v>
      </c>
      <c r="I40" s="129">
        <v>8.6400000000000005E-2</v>
      </c>
      <c r="J40" s="129">
        <v>7.5420000000000001E-2</v>
      </c>
      <c r="K40" s="129">
        <v>8.7910000000000002E-2</v>
      </c>
      <c r="L40" s="182"/>
    </row>
    <row r="41" spans="1:12" x14ac:dyDescent="0.25">
      <c r="A41" s="230"/>
      <c r="B41" s="39" t="s">
        <v>57</v>
      </c>
      <c r="C41" s="129">
        <v>9.257E-2</v>
      </c>
      <c r="D41" s="129">
        <v>8.0420000000000005E-2</v>
      </c>
      <c r="E41" s="129">
        <v>9.4320000000000001E-2</v>
      </c>
      <c r="F41" s="180"/>
      <c r="G41" s="180"/>
      <c r="H41" s="129" t="s">
        <v>57</v>
      </c>
      <c r="I41" s="129">
        <v>8.6400000000000005E-2</v>
      </c>
      <c r="J41" s="129">
        <v>7.5420000000000001E-2</v>
      </c>
      <c r="K41" s="129">
        <v>8.7910000000000002E-2</v>
      </c>
      <c r="L41" s="182"/>
    </row>
    <row r="42" spans="1:12" x14ac:dyDescent="0.25">
      <c r="A42" s="230"/>
      <c r="B42" s="39" t="s">
        <v>58</v>
      </c>
      <c r="C42" s="129">
        <v>9.257E-2</v>
      </c>
      <c r="D42" s="129">
        <v>8.0420000000000005E-2</v>
      </c>
      <c r="E42" s="129">
        <v>9.4320000000000001E-2</v>
      </c>
      <c r="F42" s="180"/>
      <c r="G42" s="180"/>
      <c r="H42" s="129" t="s">
        <v>58</v>
      </c>
      <c r="I42" s="129">
        <v>8.6400000000000005E-2</v>
      </c>
      <c r="J42" s="129">
        <v>7.5420000000000001E-2</v>
      </c>
      <c r="K42" s="129">
        <v>8.7910000000000002E-2</v>
      </c>
      <c r="L42" s="182"/>
    </row>
    <row r="43" spans="1:12" x14ac:dyDescent="0.25">
      <c r="A43" s="230"/>
      <c r="B43" s="39" t="s">
        <v>59</v>
      </c>
      <c r="C43" s="129">
        <v>9.257E-2</v>
      </c>
      <c r="D43" s="129">
        <v>8.0420000000000005E-2</v>
      </c>
      <c r="E43" s="129">
        <v>9.4320000000000001E-2</v>
      </c>
      <c r="F43" s="180"/>
      <c r="G43" s="180"/>
      <c r="H43" s="129" t="s">
        <v>59</v>
      </c>
      <c r="I43" s="129">
        <v>8.6400000000000005E-2</v>
      </c>
      <c r="J43" s="129">
        <v>7.5420000000000001E-2</v>
      </c>
      <c r="K43" s="129">
        <v>8.7910000000000002E-2</v>
      </c>
      <c r="L43" s="182"/>
    </row>
    <row r="44" spans="1:12" x14ac:dyDescent="0.25">
      <c r="A44" s="230"/>
      <c r="B44" s="39" t="s">
        <v>60</v>
      </c>
      <c r="C44" s="129">
        <v>9.257E-2</v>
      </c>
      <c r="D44" s="129">
        <v>8.0420000000000005E-2</v>
      </c>
      <c r="E44" s="129">
        <v>9.4320000000000001E-2</v>
      </c>
      <c r="F44" s="180"/>
      <c r="G44" s="180"/>
      <c r="H44" s="129" t="s">
        <v>60</v>
      </c>
      <c r="I44" s="129">
        <v>8.6400000000000005E-2</v>
      </c>
      <c r="J44" s="129">
        <v>7.5420000000000001E-2</v>
      </c>
      <c r="K44" s="129">
        <v>8.7910000000000002E-2</v>
      </c>
      <c r="L44" s="182"/>
    </row>
    <row r="45" spans="1:12" x14ac:dyDescent="0.25">
      <c r="A45" s="230"/>
      <c r="B45" s="39" t="s">
        <v>61</v>
      </c>
      <c r="C45" s="129">
        <v>9.257E-2</v>
      </c>
      <c r="D45" s="129">
        <v>8.0839999999999995E-2</v>
      </c>
      <c r="E45" s="129">
        <v>9.4320000000000001E-2</v>
      </c>
      <c r="F45" s="180"/>
      <c r="G45" s="180"/>
      <c r="H45" s="129" t="s">
        <v>61</v>
      </c>
      <c r="I45" s="129">
        <v>8.6400000000000005E-2</v>
      </c>
      <c r="J45" s="129">
        <v>7.578E-2</v>
      </c>
      <c r="K45" s="129">
        <v>8.7910000000000002E-2</v>
      </c>
      <c r="L45" s="182"/>
    </row>
    <row r="46" spans="1:12" x14ac:dyDescent="0.25">
      <c r="A46" s="230"/>
      <c r="B46" s="39" t="s">
        <v>62</v>
      </c>
      <c r="C46" s="129">
        <v>0.13038</v>
      </c>
      <c r="D46" s="129">
        <v>9.7869999999999999E-2</v>
      </c>
      <c r="E46" s="129">
        <v>0.12673000000000001</v>
      </c>
      <c r="F46" s="180"/>
      <c r="G46" s="180"/>
      <c r="H46" s="129" t="s">
        <v>62</v>
      </c>
      <c r="I46" s="129">
        <v>0.12619</v>
      </c>
      <c r="J46" s="129">
        <v>9.0939999999999993E-2</v>
      </c>
      <c r="K46" s="129">
        <v>0.11946</v>
      </c>
      <c r="L46" s="182"/>
    </row>
    <row r="47" spans="1:12" x14ac:dyDescent="0.25">
      <c r="A47" s="230"/>
      <c r="B47" s="39" t="s">
        <v>63</v>
      </c>
      <c r="C47" s="129">
        <v>0.13038</v>
      </c>
      <c r="D47" s="129">
        <v>9.7869999999999999E-2</v>
      </c>
      <c r="E47" s="129">
        <v>0.12673000000000001</v>
      </c>
      <c r="F47" s="180"/>
      <c r="G47" s="180"/>
      <c r="H47" s="129" t="s">
        <v>63</v>
      </c>
      <c r="I47" s="129">
        <v>0.12619</v>
      </c>
      <c r="J47" s="129">
        <v>9.0939999999999993E-2</v>
      </c>
      <c r="K47" s="129">
        <v>0.11946</v>
      </c>
      <c r="L47" s="182"/>
    </row>
    <row r="48" spans="1:12" x14ac:dyDescent="0.25">
      <c r="A48" s="230"/>
      <c r="B48" s="39" t="s">
        <v>310</v>
      </c>
      <c r="C48" s="130">
        <f>AVERAGE(C36:C47)</f>
        <v>0.12225833333333334</v>
      </c>
      <c r="D48" s="130">
        <f>AVERAGE(D36:D47)</f>
        <v>0.10001666666666666</v>
      </c>
      <c r="E48" s="130">
        <f>AVERAGE(E36:E47)</f>
        <v>0.10090499999999998</v>
      </c>
      <c r="F48" s="187"/>
      <c r="G48" s="180"/>
      <c r="H48" s="129" t="s">
        <v>310</v>
      </c>
      <c r="I48" s="130">
        <f>AVERAGE(I36:I47)</f>
        <v>0.11499166666666667</v>
      </c>
      <c r="J48" s="130">
        <f>AVERAGE(J36:J47)</f>
        <v>9.4960000000000003E-2</v>
      </c>
      <c r="K48" s="130">
        <f>AVERAGE(K36:K47)</f>
        <v>9.4178333333333322E-2</v>
      </c>
      <c r="L48" s="189"/>
    </row>
    <row r="49" spans="1:12" x14ac:dyDescent="0.25">
      <c r="A49" s="230"/>
      <c r="B49" s="41"/>
      <c r="C49" s="180"/>
      <c r="D49" s="180"/>
      <c r="E49" s="180"/>
      <c r="F49" s="180"/>
      <c r="G49" s="180"/>
      <c r="H49" s="180"/>
      <c r="I49" s="180"/>
      <c r="J49" s="180"/>
      <c r="K49" s="180"/>
      <c r="L49" s="182"/>
    </row>
    <row r="50" spans="1:12" x14ac:dyDescent="0.25">
      <c r="A50" s="230"/>
      <c r="B50" s="223" t="s">
        <v>307</v>
      </c>
      <c r="C50" s="217"/>
      <c r="D50" s="217"/>
      <c r="E50" s="217"/>
      <c r="F50" s="217"/>
      <c r="G50" s="180"/>
      <c r="H50" s="217" t="s">
        <v>308</v>
      </c>
      <c r="I50" s="217"/>
      <c r="J50" s="217"/>
      <c r="K50" s="217"/>
      <c r="L50" s="233"/>
    </row>
    <row r="51" spans="1:12" x14ac:dyDescent="0.25">
      <c r="A51" s="230"/>
      <c r="B51" s="176" t="s">
        <v>75</v>
      </c>
      <c r="C51" s="175">
        <v>2015</v>
      </c>
      <c r="D51" s="175">
        <v>2016</v>
      </c>
      <c r="E51" s="175">
        <v>2017</v>
      </c>
      <c r="F51" s="198" t="s">
        <v>304</v>
      </c>
      <c r="G51" s="180"/>
      <c r="H51" s="175" t="s">
        <v>75</v>
      </c>
      <c r="I51" s="175">
        <v>2015</v>
      </c>
      <c r="J51" s="175">
        <v>2016</v>
      </c>
      <c r="K51" s="175">
        <v>2017</v>
      </c>
      <c r="L51" s="185" t="s">
        <v>304</v>
      </c>
    </row>
    <row r="52" spans="1:12" x14ac:dyDescent="0.25">
      <c r="A52" s="230"/>
      <c r="B52" s="39" t="s">
        <v>52</v>
      </c>
      <c r="C52" s="129">
        <v>0.24994</v>
      </c>
      <c r="D52" s="129">
        <v>0.14563000000000001</v>
      </c>
      <c r="E52" s="129">
        <v>0.11576</v>
      </c>
      <c r="F52" s="188">
        <f>TRUNC(AVERAGE(C64:E64),5)</f>
        <v>9.8309999999999995E-2</v>
      </c>
      <c r="G52" s="180"/>
      <c r="H52" s="129" t="s">
        <v>52</v>
      </c>
      <c r="I52" s="129">
        <v>0.24009</v>
      </c>
      <c r="J52" s="129">
        <v>0.14748</v>
      </c>
      <c r="K52" s="129">
        <v>0.11138000000000001</v>
      </c>
      <c r="L52" s="132">
        <f>TRUNC(AVERAGE(I64:K64),5)</f>
        <v>9.332E-2</v>
      </c>
    </row>
    <row r="53" spans="1:12" x14ac:dyDescent="0.25">
      <c r="A53" s="230"/>
      <c r="B53" s="39" t="s">
        <v>53</v>
      </c>
      <c r="C53" s="129">
        <v>0.19219</v>
      </c>
      <c r="D53" s="129">
        <v>9.5890000000000003E-2</v>
      </c>
      <c r="E53" s="129">
        <v>0.12064999999999999</v>
      </c>
      <c r="F53" s="180"/>
      <c r="G53" s="180"/>
      <c r="H53" s="183" t="s">
        <v>53</v>
      </c>
      <c r="I53" s="183">
        <v>0.19425999999999999</v>
      </c>
      <c r="J53" s="183">
        <v>9.7239999999999993E-2</v>
      </c>
      <c r="K53" s="183">
        <v>0.11103</v>
      </c>
      <c r="L53" s="182"/>
    </row>
    <row r="54" spans="1:12" x14ac:dyDescent="0.25">
      <c r="A54" s="230"/>
      <c r="B54" s="39" t="s">
        <v>54</v>
      </c>
      <c r="C54" s="129">
        <v>0.13431999999999999</v>
      </c>
      <c r="D54" s="129">
        <v>8.4559999999999996E-2</v>
      </c>
      <c r="E54" s="129">
        <v>9.8100000000000007E-2</v>
      </c>
      <c r="F54" s="180"/>
      <c r="G54" s="180"/>
      <c r="H54" s="129" t="s">
        <v>54</v>
      </c>
      <c r="I54" s="129">
        <v>0.13278999999999999</v>
      </c>
      <c r="J54" s="129">
        <v>8.5209999999999994E-2</v>
      </c>
      <c r="K54" s="129">
        <v>8.838E-2</v>
      </c>
      <c r="L54" s="182"/>
    </row>
    <row r="55" spans="1:12" ht="15" customHeight="1" x14ac:dyDescent="0.25">
      <c r="A55" s="230"/>
      <c r="B55" s="39" t="s">
        <v>55</v>
      </c>
      <c r="C55" s="129">
        <v>8.856E-2</v>
      </c>
      <c r="D55" s="129">
        <v>7.5689999999999993E-2</v>
      </c>
      <c r="E55" s="129">
        <v>8.5019999999999998E-2</v>
      </c>
      <c r="F55" s="180"/>
      <c r="G55" s="180"/>
      <c r="H55" s="129" t="s">
        <v>55</v>
      </c>
      <c r="I55" s="129">
        <v>8.5000000000000006E-2</v>
      </c>
      <c r="J55" s="129">
        <v>7.5109999999999996E-2</v>
      </c>
      <c r="K55" s="129">
        <v>7.3800000000000004E-2</v>
      </c>
      <c r="L55" s="182"/>
    </row>
    <row r="56" spans="1:12" x14ac:dyDescent="0.25">
      <c r="A56" s="230"/>
      <c r="B56" s="39" t="s">
        <v>56</v>
      </c>
      <c r="C56" s="129">
        <v>7.2679999999999995E-2</v>
      </c>
      <c r="D56" s="129">
        <v>6.6879999999999995E-2</v>
      </c>
      <c r="E56" s="129">
        <v>7.1110000000000007E-2</v>
      </c>
      <c r="F56" s="180"/>
      <c r="G56" s="180"/>
      <c r="H56" s="129" t="s">
        <v>56</v>
      </c>
      <c r="I56" s="129">
        <v>7.306E-2</v>
      </c>
      <c r="J56" s="129">
        <v>6.5460000000000004E-2</v>
      </c>
      <c r="K56" s="129">
        <v>6.7119999999999999E-2</v>
      </c>
      <c r="L56" s="182"/>
    </row>
    <row r="57" spans="1:12" x14ac:dyDescent="0.25">
      <c r="A57" s="230"/>
      <c r="B57" s="39" t="s">
        <v>57</v>
      </c>
      <c r="C57" s="129">
        <v>8.1119999999999998E-2</v>
      </c>
      <c r="D57" s="129">
        <v>7.3440000000000005E-2</v>
      </c>
      <c r="E57" s="129">
        <v>9.3210000000000001E-2</v>
      </c>
      <c r="F57" s="180"/>
      <c r="G57" s="180"/>
      <c r="H57" s="129" t="s">
        <v>57</v>
      </c>
      <c r="I57" s="129">
        <v>8.1600000000000006E-2</v>
      </c>
      <c r="J57" s="129">
        <v>6.7729999999999999E-2</v>
      </c>
      <c r="K57" s="129">
        <v>7.7399999999999997E-2</v>
      </c>
      <c r="L57" s="182"/>
    </row>
    <row r="58" spans="1:12" x14ac:dyDescent="0.25">
      <c r="A58" s="230"/>
      <c r="B58" s="39" t="s">
        <v>58</v>
      </c>
      <c r="C58" s="129">
        <v>9.5049999999999996E-2</v>
      </c>
      <c r="D58" s="129">
        <v>8.0449999999999994E-2</v>
      </c>
      <c r="E58" s="129">
        <v>9.8229999999999998E-2</v>
      </c>
      <c r="F58" s="180"/>
      <c r="G58" s="180"/>
      <c r="H58" s="129" t="s">
        <v>58</v>
      </c>
      <c r="I58" s="129">
        <v>9.3420000000000003E-2</v>
      </c>
      <c r="J58" s="129">
        <v>7.5410000000000005E-2</v>
      </c>
      <c r="K58" s="129">
        <v>8.6489999999999997E-2</v>
      </c>
      <c r="L58" s="182"/>
    </row>
    <row r="59" spans="1:12" x14ac:dyDescent="0.25">
      <c r="A59" s="230"/>
      <c r="B59" s="39" t="s">
        <v>59</v>
      </c>
      <c r="C59" s="129">
        <v>7.7289999999999998E-2</v>
      </c>
      <c r="D59" s="129">
        <v>7.7520000000000006E-2</v>
      </c>
      <c r="E59" s="129">
        <v>9.5280000000000004E-2</v>
      </c>
      <c r="F59" s="180"/>
      <c r="G59" s="180"/>
      <c r="H59" s="129" t="s">
        <v>59</v>
      </c>
      <c r="I59" s="129">
        <v>7.6539999999999997E-2</v>
      </c>
      <c r="J59" s="129">
        <v>6.9989999999999997E-2</v>
      </c>
      <c r="K59" s="129">
        <v>8.4790000000000004E-2</v>
      </c>
      <c r="L59" s="182"/>
    </row>
    <row r="60" spans="1:12" x14ac:dyDescent="0.25">
      <c r="A60" s="230"/>
      <c r="B60" s="39" t="s">
        <v>60</v>
      </c>
      <c r="C60" s="129">
        <v>7.1260000000000004E-2</v>
      </c>
      <c r="D60" s="129">
        <v>7.2590000000000002E-2</v>
      </c>
      <c r="E60" s="129">
        <v>9.6100000000000005E-2</v>
      </c>
      <c r="F60" s="180"/>
      <c r="G60" s="180"/>
      <c r="H60" s="129" t="s">
        <v>60</v>
      </c>
      <c r="I60" s="129">
        <v>7.1679999999999994E-2</v>
      </c>
      <c r="J60" s="129">
        <v>6.3700000000000007E-2</v>
      </c>
      <c r="K60" s="129">
        <v>8.1769999999999995E-2</v>
      </c>
      <c r="L60" s="182"/>
    </row>
    <row r="61" spans="1:12" x14ac:dyDescent="0.25">
      <c r="A61" s="230"/>
      <c r="B61" s="39" t="s">
        <v>61</v>
      </c>
      <c r="C61" s="129">
        <v>7.4469999999999995E-2</v>
      </c>
      <c r="D61" s="129">
        <v>7.034E-2</v>
      </c>
      <c r="E61" s="129">
        <v>9.2990000000000003E-2</v>
      </c>
      <c r="F61" s="180"/>
      <c r="G61" s="180"/>
      <c r="H61" s="129" t="s">
        <v>61</v>
      </c>
      <c r="I61" s="129">
        <v>7.4510000000000007E-2</v>
      </c>
      <c r="J61" s="129">
        <v>6.2909999999999994E-2</v>
      </c>
      <c r="K61" s="129">
        <v>8.1299999999999997E-2</v>
      </c>
      <c r="L61" s="182"/>
    </row>
    <row r="62" spans="1:12" x14ac:dyDescent="0.25">
      <c r="A62" s="230"/>
      <c r="B62" s="39" t="s">
        <v>62</v>
      </c>
      <c r="C62" s="129">
        <v>9.7710000000000005E-2</v>
      </c>
      <c r="D62" s="129">
        <v>7.3910000000000003E-2</v>
      </c>
      <c r="E62" s="129">
        <v>9.5860000000000001E-2</v>
      </c>
      <c r="F62" s="180"/>
      <c r="G62" s="180"/>
      <c r="H62" s="129" t="s">
        <v>62</v>
      </c>
      <c r="I62" s="129">
        <v>9.6809999999999993E-2</v>
      </c>
      <c r="J62" s="129">
        <v>6.6640000000000005E-2</v>
      </c>
      <c r="K62" s="129">
        <v>8.727E-2</v>
      </c>
      <c r="L62" s="182"/>
    </row>
    <row r="63" spans="1:12" x14ac:dyDescent="0.25">
      <c r="A63" s="230"/>
      <c r="B63" s="39" t="s">
        <v>63</v>
      </c>
      <c r="C63" s="129">
        <v>0.12311</v>
      </c>
      <c r="D63" s="129">
        <v>8.9609999999999995E-2</v>
      </c>
      <c r="E63" s="129">
        <v>0.11298999999999999</v>
      </c>
      <c r="F63" s="180"/>
      <c r="G63" s="180"/>
      <c r="H63" s="129" t="s">
        <v>63</v>
      </c>
      <c r="I63" s="129">
        <v>0.12314</v>
      </c>
      <c r="J63" s="129">
        <v>8.3099999999999993E-2</v>
      </c>
      <c r="K63" s="129">
        <v>0.10607</v>
      </c>
      <c r="L63" s="182"/>
    </row>
    <row r="64" spans="1:12" x14ac:dyDescent="0.25">
      <c r="A64" s="230"/>
      <c r="B64" s="39" t="s">
        <v>310</v>
      </c>
      <c r="C64" s="130">
        <f>AVERAGE(C52:C63)</f>
        <v>0.11314166666666665</v>
      </c>
      <c r="D64" s="130">
        <f>AVERAGE(D52:D63)</f>
        <v>8.387583333333333E-2</v>
      </c>
      <c r="E64" s="130">
        <f>AVERAGE(E52:E63)</f>
        <v>9.7941666666666663E-2</v>
      </c>
      <c r="F64" s="187"/>
      <c r="G64" s="180"/>
      <c r="H64" s="129" t="s">
        <v>310</v>
      </c>
      <c r="I64" s="130">
        <f>AVERAGE(I52:I63)</f>
        <v>0.11190833333333335</v>
      </c>
      <c r="J64" s="130">
        <f>AVERAGE(J52:J63)</f>
        <v>7.9998333333333324E-2</v>
      </c>
      <c r="K64" s="130">
        <f>AVERAGE(K52:K63)</f>
        <v>8.8066666666666668E-2</v>
      </c>
      <c r="L64" s="189"/>
    </row>
    <row r="65" spans="1:12" x14ac:dyDescent="0.25">
      <c r="A65" s="230"/>
      <c r="B65" s="41"/>
      <c r="C65" s="187"/>
      <c r="D65" s="187"/>
      <c r="E65" s="187"/>
      <c r="F65" s="187"/>
      <c r="G65" s="180"/>
      <c r="H65" s="180"/>
      <c r="I65" s="187"/>
      <c r="J65" s="187"/>
      <c r="K65" s="187"/>
      <c r="L65" s="189"/>
    </row>
    <row r="66" spans="1:12" x14ac:dyDescent="0.25">
      <c r="A66" s="230"/>
      <c r="B66" s="223" t="s">
        <v>309</v>
      </c>
      <c r="C66" s="217"/>
      <c r="D66" s="217"/>
      <c r="E66" s="217"/>
      <c r="F66" s="217"/>
      <c r="G66" s="180"/>
      <c r="H66" s="180"/>
      <c r="I66" s="180"/>
      <c r="J66" s="180"/>
      <c r="K66" s="180"/>
      <c r="L66" s="182"/>
    </row>
    <row r="67" spans="1:12" x14ac:dyDescent="0.25">
      <c r="A67" s="230"/>
      <c r="B67" s="176" t="s">
        <v>75</v>
      </c>
      <c r="C67" s="175">
        <v>2015</v>
      </c>
      <c r="D67" s="175">
        <v>2016</v>
      </c>
      <c r="E67" s="175">
        <v>2017</v>
      </c>
      <c r="F67" s="198" t="s">
        <v>304</v>
      </c>
      <c r="G67" s="180"/>
      <c r="H67" s="180"/>
      <c r="I67" s="180"/>
      <c r="J67" s="180"/>
      <c r="K67" s="180"/>
      <c r="L67" s="182"/>
    </row>
    <row r="68" spans="1:12" x14ac:dyDescent="0.25">
      <c r="A68" s="230"/>
      <c r="B68" s="39" t="s">
        <v>52</v>
      </c>
      <c r="C68" s="129">
        <v>0.24310999999999999</v>
      </c>
      <c r="D68" s="129">
        <v>0.14688999999999999</v>
      </c>
      <c r="E68" s="129">
        <v>0.11125</v>
      </c>
      <c r="F68" s="188">
        <f>TRUNC(AVERAGE(C80:E80),5)</f>
        <v>9.2310000000000003E-2</v>
      </c>
      <c r="G68" s="180"/>
      <c r="H68" s="180"/>
      <c r="I68" s="180"/>
      <c r="J68" s="180"/>
      <c r="K68" s="180"/>
      <c r="L68" s="182"/>
    </row>
    <row r="69" spans="1:12" x14ac:dyDescent="0.25">
      <c r="A69" s="230"/>
      <c r="B69" s="39" t="s">
        <v>53</v>
      </c>
      <c r="C69" s="129">
        <v>0.18964</v>
      </c>
      <c r="D69" s="129">
        <v>9.2460000000000001E-2</v>
      </c>
      <c r="E69" s="129">
        <v>0.11194</v>
      </c>
      <c r="F69" s="180"/>
      <c r="G69" s="180"/>
      <c r="H69" s="180"/>
      <c r="I69" s="180"/>
      <c r="J69" s="180"/>
      <c r="K69" s="180"/>
      <c r="L69" s="182"/>
    </row>
    <row r="70" spans="1:12" x14ac:dyDescent="0.25">
      <c r="A70" s="230"/>
      <c r="B70" s="39" t="s">
        <v>54</v>
      </c>
      <c r="C70" s="129">
        <v>0.13161999999999999</v>
      </c>
      <c r="D70" s="129">
        <v>8.201E-2</v>
      </c>
      <c r="E70" s="129">
        <v>8.9289999999999994E-2</v>
      </c>
      <c r="F70" s="180"/>
      <c r="G70" s="180"/>
      <c r="H70" s="180"/>
      <c r="I70" s="180"/>
      <c r="J70" s="180"/>
      <c r="K70" s="180"/>
      <c r="L70" s="182"/>
    </row>
    <row r="71" spans="1:12" x14ac:dyDescent="0.25">
      <c r="A71" s="230"/>
      <c r="B71" s="39" t="s">
        <v>55</v>
      </c>
      <c r="C71" s="129">
        <v>8.5279999999999995E-2</v>
      </c>
      <c r="D71" s="129">
        <v>7.3249999999999996E-2</v>
      </c>
      <c r="E71" s="129">
        <v>7.356E-2</v>
      </c>
      <c r="F71" s="180"/>
      <c r="G71" s="180"/>
      <c r="H71" s="180"/>
      <c r="I71" s="180"/>
      <c r="J71" s="180"/>
      <c r="K71" s="180"/>
      <c r="L71" s="182"/>
    </row>
    <row r="72" spans="1:12" x14ac:dyDescent="0.25">
      <c r="A72" s="230"/>
      <c r="B72" s="39" t="s">
        <v>56</v>
      </c>
      <c r="C72" s="129">
        <v>7.2309999999999999E-2</v>
      </c>
      <c r="D72" s="129">
        <v>6.3619999999999996E-2</v>
      </c>
      <c r="E72" s="129">
        <v>6.3089999999999993E-2</v>
      </c>
      <c r="F72" s="180"/>
      <c r="G72" s="180"/>
      <c r="H72" s="180"/>
      <c r="I72" s="180"/>
      <c r="J72" s="180"/>
      <c r="K72" s="180"/>
      <c r="L72" s="182"/>
    </row>
    <row r="73" spans="1:12" x14ac:dyDescent="0.25">
      <c r="A73" s="230"/>
      <c r="B73" s="39" t="s">
        <v>57</v>
      </c>
      <c r="C73" s="129">
        <v>8.0579999999999999E-2</v>
      </c>
      <c r="D73" s="129">
        <v>6.4619999999999997E-2</v>
      </c>
      <c r="E73" s="129">
        <v>7.9450000000000007E-2</v>
      </c>
      <c r="F73" s="180"/>
      <c r="G73" s="180"/>
      <c r="H73" s="180"/>
      <c r="I73" s="180"/>
      <c r="J73" s="180"/>
      <c r="K73" s="180"/>
      <c r="L73" s="182"/>
    </row>
    <row r="74" spans="1:12" x14ac:dyDescent="0.25">
      <c r="A74" s="230"/>
      <c r="B74" s="39" t="s">
        <v>58</v>
      </c>
      <c r="C74" s="129">
        <v>9.425E-2</v>
      </c>
      <c r="D74" s="129">
        <v>7.4200000000000002E-2</v>
      </c>
      <c r="E74" s="129">
        <v>8.6449999999999999E-2</v>
      </c>
      <c r="F74" s="180"/>
      <c r="G74" s="180"/>
      <c r="H74" s="180"/>
      <c r="I74" s="180"/>
      <c r="J74" s="180"/>
      <c r="K74" s="180"/>
      <c r="L74" s="182"/>
    </row>
    <row r="75" spans="1:12" x14ac:dyDescent="0.25">
      <c r="A75" s="230"/>
      <c r="B75" s="39" t="s">
        <v>59</v>
      </c>
      <c r="C75" s="129">
        <v>7.4819999999999998E-2</v>
      </c>
      <c r="D75" s="129">
        <v>6.9610000000000005E-2</v>
      </c>
      <c r="E75" s="129">
        <v>8.5040000000000004E-2</v>
      </c>
      <c r="F75" s="180"/>
      <c r="G75" s="180"/>
      <c r="H75" s="180"/>
      <c r="I75" s="180"/>
      <c r="J75" s="180"/>
      <c r="K75" s="180"/>
      <c r="L75" s="182"/>
    </row>
    <row r="76" spans="1:12" x14ac:dyDescent="0.25">
      <c r="A76" s="230"/>
      <c r="B76" s="39" t="s">
        <v>60</v>
      </c>
      <c r="C76" s="129">
        <v>7.0110000000000006E-2</v>
      </c>
      <c r="D76" s="129">
        <v>6.4310000000000006E-2</v>
      </c>
      <c r="E76" s="129">
        <v>8.2390000000000005E-2</v>
      </c>
      <c r="F76" s="180"/>
      <c r="G76" s="180"/>
      <c r="H76" s="180"/>
      <c r="I76" s="180"/>
      <c r="J76" s="180"/>
      <c r="K76" s="180"/>
      <c r="L76" s="182"/>
    </row>
    <row r="77" spans="1:12" x14ac:dyDescent="0.25">
      <c r="A77" s="230"/>
      <c r="B77" s="39" t="s">
        <v>61</v>
      </c>
      <c r="C77" s="129">
        <v>7.3370000000000005E-2</v>
      </c>
      <c r="D77" s="129">
        <v>6.3509999999999997E-2</v>
      </c>
      <c r="E77" s="129">
        <v>8.1689999999999999E-2</v>
      </c>
      <c r="F77" s="180"/>
      <c r="G77" s="180"/>
      <c r="H77" s="180"/>
      <c r="I77" s="180"/>
      <c r="J77" s="180"/>
      <c r="K77" s="180"/>
      <c r="L77" s="182"/>
    </row>
    <row r="78" spans="1:12" x14ac:dyDescent="0.25">
      <c r="A78" s="230"/>
      <c r="B78" s="39" t="s">
        <v>62</v>
      </c>
      <c r="C78" s="129">
        <v>9.2160000000000006E-2</v>
      </c>
      <c r="D78" s="129">
        <v>6.5820000000000004E-2</v>
      </c>
      <c r="E78" s="129">
        <v>8.5500000000000007E-2</v>
      </c>
      <c r="F78" s="180"/>
      <c r="G78" s="180"/>
      <c r="H78" s="180"/>
      <c r="I78" s="180"/>
      <c r="J78" s="180"/>
      <c r="K78" s="180"/>
      <c r="L78" s="182"/>
    </row>
    <row r="79" spans="1:12" x14ac:dyDescent="0.25">
      <c r="A79" s="230"/>
      <c r="B79" s="39" t="s">
        <v>63</v>
      </c>
      <c r="C79" s="129">
        <v>0.11969</v>
      </c>
      <c r="D79" s="129">
        <v>8.2470000000000002E-2</v>
      </c>
      <c r="E79" s="129">
        <v>0.10414</v>
      </c>
      <c r="F79" s="180"/>
      <c r="G79" s="180"/>
      <c r="H79" s="180"/>
      <c r="I79" s="180"/>
      <c r="J79" s="180"/>
      <c r="K79" s="180"/>
      <c r="L79" s="182"/>
    </row>
    <row r="80" spans="1:12" ht="15.75" thickBot="1" x14ac:dyDescent="0.3">
      <c r="A80" s="231"/>
      <c r="B80" s="186" t="s">
        <v>310</v>
      </c>
      <c r="C80" s="190">
        <f>AVERAGE(C68:C79)</f>
        <v>0.11057833333333333</v>
      </c>
      <c r="D80" s="190">
        <f>AVERAGE(D68:D79)</f>
        <v>7.8564166666666671E-2</v>
      </c>
      <c r="E80" s="190">
        <f>AVERAGE(E68:E79)</f>
        <v>8.7815833333333329E-2</v>
      </c>
      <c r="F80" s="191"/>
      <c r="G80" s="27"/>
      <c r="H80" s="27"/>
      <c r="I80" s="27"/>
      <c r="J80" s="27"/>
      <c r="K80" s="27"/>
      <c r="L80" s="192"/>
    </row>
  </sheetData>
  <sheetProtection password="C274" sheet="1" objects="1" scenarios="1"/>
  <mergeCells count="15">
    <mergeCell ref="A34:A80"/>
    <mergeCell ref="B34:F34"/>
    <mergeCell ref="H34:L34"/>
    <mergeCell ref="B50:F50"/>
    <mergeCell ref="H50:L50"/>
    <mergeCell ref="B66:F66"/>
    <mergeCell ref="A17:A31"/>
    <mergeCell ref="B17:I17"/>
    <mergeCell ref="B22:I22"/>
    <mergeCell ref="B27:O27"/>
    <mergeCell ref="A1:A15"/>
    <mergeCell ref="B9:I9"/>
    <mergeCell ref="B1:I1"/>
    <mergeCell ref="B5:I5"/>
    <mergeCell ref="K2:O2"/>
  </mergeCells>
  <pageMargins left="0.7" right="0.7" top="0.75" bottom="0.75" header="0.3" footer="0.3"/>
  <pageSetup orientation="portrait" r:id="rId1"/>
  <ignoredErrors>
    <ignoredError sqref="C48:E48 I48:K48 C64:E64 I64:K64 C80:E80"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workbookViewId="0">
      <selection sqref="A1:L2"/>
    </sheetView>
  </sheetViews>
  <sheetFormatPr defaultRowHeight="15" x14ac:dyDescent="0.25"/>
  <cols>
    <col min="1" max="1" width="21.85546875" style="50" customWidth="1"/>
    <col min="2" max="2" width="39.42578125" style="50" bestFit="1" customWidth="1"/>
    <col min="3" max="3" width="14.42578125" style="50" bestFit="1" customWidth="1"/>
    <col min="4" max="4" width="7.5703125" style="50" bestFit="1" customWidth="1"/>
    <col min="5" max="12" width="8.5703125" style="50" bestFit="1" customWidth="1"/>
    <col min="13" max="16384" width="9.140625" style="50"/>
  </cols>
  <sheetData>
    <row r="1" spans="1:12" x14ac:dyDescent="0.25">
      <c r="A1" s="236" t="s">
        <v>119</v>
      </c>
      <c r="B1" s="236"/>
      <c r="C1" s="236"/>
      <c r="D1" s="236"/>
      <c r="E1" s="236"/>
      <c r="F1" s="236"/>
      <c r="G1" s="236"/>
      <c r="H1" s="236"/>
      <c r="I1" s="236"/>
      <c r="J1" s="236"/>
      <c r="K1" s="236"/>
      <c r="L1" s="236"/>
    </row>
    <row r="2" spans="1:12" ht="15.75" thickBot="1" x14ac:dyDescent="0.3">
      <c r="A2" s="236"/>
      <c r="B2" s="236"/>
      <c r="C2" s="236"/>
      <c r="D2" s="236"/>
      <c r="E2" s="236"/>
      <c r="F2" s="236"/>
      <c r="G2" s="236"/>
      <c r="H2" s="236"/>
      <c r="I2" s="236"/>
      <c r="J2" s="236"/>
      <c r="K2" s="236"/>
      <c r="L2" s="236"/>
    </row>
    <row r="3" spans="1:12" ht="45.75" thickBot="1" x14ac:dyDescent="0.3">
      <c r="A3" s="87" t="s">
        <v>118</v>
      </c>
      <c r="B3" s="86" t="s">
        <v>117</v>
      </c>
      <c r="C3" s="86" t="s">
        <v>116</v>
      </c>
      <c r="D3" s="86" t="s">
        <v>115</v>
      </c>
      <c r="E3" s="85" t="s">
        <v>114</v>
      </c>
      <c r="F3" s="85" t="s">
        <v>113</v>
      </c>
      <c r="G3" s="85" t="s">
        <v>112</v>
      </c>
      <c r="H3" s="85" t="s">
        <v>111</v>
      </c>
      <c r="I3" s="85" t="s">
        <v>110</v>
      </c>
      <c r="J3" s="85" t="s">
        <v>109</v>
      </c>
      <c r="K3" s="85" t="s">
        <v>108</v>
      </c>
      <c r="L3" s="84" t="s">
        <v>107</v>
      </c>
    </row>
    <row r="4" spans="1:12" x14ac:dyDescent="0.25">
      <c r="A4" s="237" t="s">
        <v>106</v>
      </c>
      <c r="B4" s="67" t="s">
        <v>100</v>
      </c>
      <c r="C4" s="66">
        <v>2.2999999999999998</v>
      </c>
      <c r="D4" s="65" t="s">
        <v>98</v>
      </c>
      <c r="E4" s="58">
        <f>$E$9*C4</f>
        <v>0.35794899999999996</v>
      </c>
      <c r="F4" s="64">
        <f t="shared" ref="F4:H9" si="0">E4*0.912</f>
        <v>0.32644948799999995</v>
      </c>
      <c r="G4" s="64">
        <f t="shared" si="0"/>
        <v>0.29772193305599998</v>
      </c>
      <c r="H4" s="64">
        <f t="shared" si="0"/>
        <v>0.27152240294707197</v>
      </c>
      <c r="I4" s="240" t="s">
        <v>103</v>
      </c>
      <c r="J4" s="241"/>
      <c r="K4" s="241"/>
      <c r="L4" s="242"/>
    </row>
    <row r="5" spans="1:12" x14ac:dyDescent="0.25">
      <c r="A5" s="238"/>
      <c r="B5" s="62" t="s">
        <v>99</v>
      </c>
      <c r="C5" s="61">
        <v>2</v>
      </c>
      <c r="D5" s="60" t="s">
        <v>98</v>
      </c>
      <c r="E5" s="58">
        <f>$E$9*C5</f>
        <v>0.31125999999999998</v>
      </c>
      <c r="F5" s="58">
        <f t="shared" si="0"/>
        <v>0.28386911999999997</v>
      </c>
      <c r="G5" s="58">
        <f t="shared" si="0"/>
        <v>0.25888863744000001</v>
      </c>
      <c r="H5" s="58">
        <f t="shared" si="0"/>
        <v>0.23610643734528003</v>
      </c>
      <c r="I5" s="243"/>
      <c r="J5" s="244"/>
      <c r="K5" s="244"/>
      <c r="L5" s="245"/>
    </row>
    <row r="6" spans="1:12" x14ac:dyDescent="0.25">
      <c r="A6" s="238"/>
      <c r="B6" s="62" t="s">
        <v>97</v>
      </c>
      <c r="C6" s="61">
        <v>1.5</v>
      </c>
      <c r="D6" s="60" t="s">
        <v>93</v>
      </c>
      <c r="E6" s="58">
        <f>$E$9*C6</f>
        <v>0.23344499999999999</v>
      </c>
      <c r="F6" s="58">
        <f t="shared" si="0"/>
        <v>0.21290183999999998</v>
      </c>
      <c r="G6" s="58">
        <f t="shared" si="0"/>
        <v>0.19416647807999998</v>
      </c>
      <c r="H6" s="58">
        <f t="shared" si="0"/>
        <v>0.17707982800895999</v>
      </c>
      <c r="I6" s="243"/>
      <c r="J6" s="244"/>
      <c r="K6" s="244"/>
      <c r="L6" s="245"/>
    </row>
    <row r="7" spans="1:12" x14ac:dyDescent="0.25">
      <c r="A7" s="238"/>
      <c r="B7" s="62" t="s">
        <v>96</v>
      </c>
      <c r="C7" s="61">
        <v>1.25</v>
      </c>
      <c r="D7" s="60" t="s">
        <v>93</v>
      </c>
      <c r="E7" s="58">
        <f>$E$9*C7</f>
        <v>0.19453749999999997</v>
      </c>
      <c r="F7" s="58">
        <f t="shared" si="0"/>
        <v>0.17741819999999997</v>
      </c>
      <c r="G7" s="58">
        <f t="shared" si="0"/>
        <v>0.16180539839999997</v>
      </c>
      <c r="H7" s="58">
        <f t="shared" si="0"/>
        <v>0.14756652334079998</v>
      </c>
      <c r="I7" s="243"/>
      <c r="J7" s="244"/>
      <c r="K7" s="244"/>
      <c r="L7" s="245"/>
    </row>
    <row r="8" spans="1:12" x14ac:dyDescent="0.25">
      <c r="A8" s="238"/>
      <c r="B8" s="62" t="s">
        <v>95</v>
      </c>
      <c r="C8" s="61">
        <v>1.1000000000000001</v>
      </c>
      <c r="D8" s="60" t="s">
        <v>93</v>
      </c>
      <c r="E8" s="58">
        <f>$E$9*C8</f>
        <v>0.17119300000000001</v>
      </c>
      <c r="F8" s="58">
        <f t="shared" si="0"/>
        <v>0.15612801600000001</v>
      </c>
      <c r="G8" s="58">
        <f t="shared" si="0"/>
        <v>0.14238875059200001</v>
      </c>
      <c r="H8" s="58">
        <f t="shared" si="0"/>
        <v>0.129858540539904</v>
      </c>
      <c r="I8" s="243"/>
      <c r="J8" s="244"/>
      <c r="K8" s="244"/>
      <c r="L8" s="245"/>
    </row>
    <row r="9" spans="1:12" ht="15.75" thickBot="1" x14ac:dyDescent="0.3">
      <c r="A9" s="239"/>
      <c r="B9" s="56" t="s">
        <v>94</v>
      </c>
      <c r="C9" s="55">
        <v>1</v>
      </c>
      <c r="D9" s="54" t="s">
        <v>93</v>
      </c>
      <c r="E9" s="53">
        <v>0.15562999999999999</v>
      </c>
      <c r="F9" s="53">
        <f t="shared" si="0"/>
        <v>0.14193455999999999</v>
      </c>
      <c r="G9" s="53">
        <f t="shared" si="0"/>
        <v>0.12944431872000001</v>
      </c>
      <c r="H9" s="53">
        <f t="shared" si="0"/>
        <v>0.11805321867264001</v>
      </c>
      <c r="I9" s="246"/>
      <c r="J9" s="247"/>
      <c r="K9" s="247"/>
      <c r="L9" s="248"/>
    </row>
    <row r="10" spans="1:12" x14ac:dyDescent="0.25">
      <c r="A10" s="237" t="s">
        <v>105</v>
      </c>
      <c r="B10" s="67" t="s">
        <v>100</v>
      </c>
      <c r="C10" s="66">
        <v>2.2999999999999998</v>
      </c>
      <c r="D10" s="65" t="s">
        <v>98</v>
      </c>
      <c r="E10" s="58">
        <f>$E$15*C10</f>
        <v>0.35794899999999996</v>
      </c>
      <c r="F10" s="64">
        <f t="shared" ref="F10:L15" si="1">E10*0.96</f>
        <v>0.34363103999999994</v>
      </c>
      <c r="G10" s="64">
        <f t="shared" si="1"/>
        <v>0.32988579839999993</v>
      </c>
      <c r="H10" s="64">
        <f t="shared" si="1"/>
        <v>0.31669036646399989</v>
      </c>
      <c r="I10" s="69">
        <f t="shared" si="1"/>
        <v>0.30402275180543986</v>
      </c>
      <c r="J10" s="69">
        <f t="shared" si="1"/>
        <v>0.29186184173322227</v>
      </c>
      <c r="K10" s="69">
        <f t="shared" si="1"/>
        <v>0.28018736806389338</v>
      </c>
      <c r="L10" s="68">
        <f t="shared" si="1"/>
        <v>0.26897987334133766</v>
      </c>
    </row>
    <row r="11" spans="1:12" x14ac:dyDescent="0.25">
      <c r="A11" s="238"/>
      <c r="B11" s="62" t="s">
        <v>99</v>
      </c>
      <c r="C11" s="61">
        <v>2</v>
      </c>
      <c r="D11" s="60" t="s">
        <v>98</v>
      </c>
      <c r="E11" s="58">
        <f>$E$15*C11</f>
        <v>0.31125999999999998</v>
      </c>
      <c r="F11" s="58">
        <f t="shared" si="1"/>
        <v>0.29880959999999995</v>
      </c>
      <c r="G11" s="58">
        <f t="shared" si="1"/>
        <v>0.28685721599999997</v>
      </c>
      <c r="H11" s="58">
        <f t="shared" si="1"/>
        <v>0.27538292735999997</v>
      </c>
      <c r="I11" s="58">
        <f t="shared" si="1"/>
        <v>0.26436761026559996</v>
      </c>
      <c r="J11" s="58">
        <f t="shared" si="1"/>
        <v>0.25379290585497594</v>
      </c>
      <c r="K11" s="58">
        <f t="shared" si="1"/>
        <v>0.24364118962077688</v>
      </c>
      <c r="L11" s="57">
        <f t="shared" si="1"/>
        <v>0.23389554203594579</v>
      </c>
    </row>
    <row r="12" spans="1:12" x14ac:dyDescent="0.25">
      <c r="A12" s="238"/>
      <c r="B12" s="62" t="s">
        <v>97</v>
      </c>
      <c r="C12" s="61">
        <v>1.5</v>
      </c>
      <c r="D12" s="60" t="s">
        <v>93</v>
      </c>
      <c r="E12" s="58">
        <f>$E$15*C12</f>
        <v>0.23344499999999999</v>
      </c>
      <c r="F12" s="58">
        <f t="shared" si="1"/>
        <v>0.22410719999999998</v>
      </c>
      <c r="G12" s="58">
        <f t="shared" si="1"/>
        <v>0.21514291199999996</v>
      </c>
      <c r="H12" s="58">
        <f t="shared" si="1"/>
        <v>0.20653719551999997</v>
      </c>
      <c r="I12" s="58">
        <f t="shared" si="1"/>
        <v>0.19827570769919997</v>
      </c>
      <c r="J12" s="58">
        <f t="shared" si="1"/>
        <v>0.19034467939123195</v>
      </c>
      <c r="K12" s="58">
        <f t="shared" si="1"/>
        <v>0.18273089221558267</v>
      </c>
      <c r="L12" s="57">
        <f t="shared" si="1"/>
        <v>0.17542165652695935</v>
      </c>
    </row>
    <row r="13" spans="1:12" x14ac:dyDescent="0.25">
      <c r="A13" s="238"/>
      <c r="B13" s="62" t="s">
        <v>96</v>
      </c>
      <c r="C13" s="61">
        <v>1.25</v>
      </c>
      <c r="D13" s="60" t="s">
        <v>93</v>
      </c>
      <c r="E13" s="58">
        <f>$E$15*C13</f>
        <v>0.19453749999999997</v>
      </c>
      <c r="F13" s="58">
        <f t="shared" si="1"/>
        <v>0.18675599999999998</v>
      </c>
      <c r="G13" s="58">
        <f t="shared" si="1"/>
        <v>0.17928575999999996</v>
      </c>
      <c r="H13" s="58">
        <f t="shared" si="1"/>
        <v>0.17211432959999995</v>
      </c>
      <c r="I13" s="58">
        <f t="shared" si="1"/>
        <v>0.16522975641599993</v>
      </c>
      <c r="J13" s="58">
        <f t="shared" si="1"/>
        <v>0.15862056615935993</v>
      </c>
      <c r="K13" s="58">
        <f t="shared" si="1"/>
        <v>0.15227574351298553</v>
      </c>
      <c r="L13" s="57">
        <f t="shared" si="1"/>
        <v>0.14618471377246611</v>
      </c>
    </row>
    <row r="14" spans="1:12" x14ac:dyDescent="0.25">
      <c r="A14" s="238"/>
      <c r="B14" s="62" t="s">
        <v>95</v>
      </c>
      <c r="C14" s="61">
        <v>1.1000000000000001</v>
      </c>
      <c r="D14" s="60" t="s">
        <v>93</v>
      </c>
      <c r="E14" s="58">
        <f>$E$15*C14</f>
        <v>0.17119300000000001</v>
      </c>
      <c r="F14" s="58">
        <f t="shared" si="1"/>
        <v>0.16434528000000001</v>
      </c>
      <c r="G14" s="58">
        <f t="shared" si="1"/>
        <v>0.15777146880000001</v>
      </c>
      <c r="H14" s="58">
        <f t="shared" si="1"/>
        <v>0.15146061004800002</v>
      </c>
      <c r="I14" s="58">
        <f t="shared" si="1"/>
        <v>0.14540218564608001</v>
      </c>
      <c r="J14" s="58">
        <f t="shared" si="1"/>
        <v>0.13958609822023679</v>
      </c>
      <c r="K14" s="58">
        <f t="shared" si="1"/>
        <v>0.13400265429142733</v>
      </c>
      <c r="L14" s="57">
        <f t="shared" si="1"/>
        <v>0.12864254811977022</v>
      </c>
    </row>
    <row r="15" spans="1:12" ht="15.75" thickBot="1" x14ac:dyDescent="0.3">
      <c r="A15" s="238"/>
      <c r="B15" s="83" t="s">
        <v>94</v>
      </c>
      <c r="C15" s="82">
        <v>1</v>
      </c>
      <c r="D15" s="81" t="s">
        <v>93</v>
      </c>
      <c r="E15" s="80">
        <v>0.15562999999999999</v>
      </c>
      <c r="F15" s="80">
        <f t="shared" si="1"/>
        <v>0.14940479999999998</v>
      </c>
      <c r="G15" s="80">
        <f t="shared" si="1"/>
        <v>0.14342860799999999</v>
      </c>
      <c r="H15" s="80">
        <f t="shared" si="1"/>
        <v>0.13769146367999999</v>
      </c>
      <c r="I15" s="80">
        <f t="shared" si="1"/>
        <v>0.13218380513279998</v>
      </c>
      <c r="J15" s="80">
        <f t="shared" si="1"/>
        <v>0.12689645292748797</v>
      </c>
      <c r="K15" s="80">
        <f t="shared" si="1"/>
        <v>0.12182059481038844</v>
      </c>
      <c r="L15" s="79">
        <f t="shared" si="1"/>
        <v>0.11694777101797289</v>
      </c>
    </row>
    <row r="16" spans="1:12" x14ac:dyDescent="0.25">
      <c r="A16" s="237" t="s">
        <v>104</v>
      </c>
      <c r="B16" s="67" t="s">
        <v>100</v>
      </c>
      <c r="C16" s="66">
        <v>2.2999999999999998</v>
      </c>
      <c r="D16" s="78" t="s">
        <v>98</v>
      </c>
      <c r="E16" s="64">
        <f>$E$21*C16</f>
        <v>0.39100000000000001</v>
      </c>
      <c r="F16" s="77">
        <f t="shared" ref="F16:F21" si="2">E16*0.84</f>
        <v>0.32844000000000001</v>
      </c>
      <c r="G16" s="240" t="s">
        <v>103</v>
      </c>
      <c r="H16" s="241"/>
      <c r="I16" s="241"/>
      <c r="J16" s="241"/>
      <c r="K16" s="241"/>
      <c r="L16" s="242"/>
    </row>
    <row r="17" spans="1:12" x14ac:dyDescent="0.25">
      <c r="A17" s="238"/>
      <c r="B17" s="62" t="s">
        <v>99</v>
      </c>
      <c r="C17" s="61">
        <v>2</v>
      </c>
      <c r="D17" s="76" t="s">
        <v>98</v>
      </c>
      <c r="E17" s="58">
        <f>$E$21*C17</f>
        <v>0.34</v>
      </c>
      <c r="F17" s="75">
        <f t="shared" si="2"/>
        <v>0.28560000000000002</v>
      </c>
      <c r="G17" s="243"/>
      <c r="H17" s="244"/>
      <c r="I17" s="244"/>
      <c r="J17" s="244"/>
      <c r="K17" s="244"/>
      <c r="L17" s="245"/>
    </row>
    <row r="18" spans="1:12" x14ac:dyDescent="0.25">
      <c r="A18" s="238"/>
      <c r="B18" s="62" t="s">
        <v>97</v>
      </c>
      <c r="C18" s="61">
        <v>1.5</v>
      </c>
      <c r="D18" s="76" t="s">
        <v>93</v>
      </c>
      <c r="E18" s="58">
        <f>$E$21*C18</f>
        <v>0.255</v>
      </c>
      <c r="F18" s="75">
        <f t="shared" si="2"/>
        <v>0.2142</v>
      </c>
      <c r="G18" s="243"/>
      <c r="H18" s="244"/>
      <c r="I18" s="244"/>
      <c r="J18" s="244"/>
      <c r="K18" s="244"/>
      <c r="L18" s="245"/>
    </row>
    <row r="19" spans="1:12" x14ac:dyDescent="0.25">
      <c r="A19" s="238"/>
      <c r="B19" s="62" t="s">
        <v>96</v>
      </c>
      <c r="C19" s="61">
        <v>1.25</v>
      </c>
      <c r="D19" s="76" t="s">
        <v>93</v>
      </c>
      <c r="E19" s="58">
        <f>$E$21*C19</f>
        <v>0.21250000000000002</v>
      </c>
      <c r="F19" s="75">
        <f t="shared" si="2"/>
        <v>0.17850000000000002</v>
      </c>
      <c r="G19" s="243"/>
      <c r="H19" s="244"/>
      <c r="I19" s="244"/>
      <c r="J19" s="244"/>
      <c r="K19" s="244"/>
      <c r="L19" s="245"/>
    </row>
    <row r="20" spans="1:12" x14ac:dyDescent="0.25">
      <c r="A20" s="238"/>
      <c r="B20" s="62" t="s">
        <v>95</v>
      </c>
      <c r="C20" s="61">
        <v>1.1000000000000001</v>
      </c>
      <c r="D20" s="76" t="s">
        <v>93</v>
      </c>
      <c r="E20" s="58">
        <f>$E$21*C20</f>
        <v>0.18700000000000003</v>
      </c>
      <c r="F20" s="75">
        <f t="shared" si="2"/>
        <v>0.15708000000000003</v>
      </c>
      <c r="G20" s="243"/>
      <c r="H20" s="244"/>
      <c r="I20" s="244"/>
      <c r="J20" s="244"/>
      <c r="K20" s="244"/>
      <c r="L20" s="245"/>
    </row>
    <row r="21" spans="1:12" ht="15.75" thickBot="1" x14ac:dyDescent="0.3">
      <c r="A21" s="239"/>
      <c r="B21" s="56" t="s">
        <v>94</v>
      </c>
      <c r="C21" s="55">
        <v>1</v>
      </c>
      <c r="D21" s="74" t="s">
        <v>93</v>
      </c>
      <c r="E21" s="53">
        <v>0.17</v>
      </c>
      <c r="F21" s="73">
        <f t="shared" si="2"/>
        <v>0.14280000000000001</v>
      </c>
      <c r="G21" s="246"/>
      <c r="H21" s="247"/>
      <c r="I21" s="247"/>
      <c r="J21" s="247"/>
      <c r="K21" s="247"/>
      <c r="L21" s="248"/>
    </row>
    <row r="22" spans="1:12" x14ac:dyDescent="0.25">
      <c r="A22" s="238" t="s">
        <v>102</v>
      </c>
      <c r="B22" s="72" t="s">
        <v>100</v>
      </c>
      <c r="C22" s="71">
        <v>2.2999999999999998</v>
      </c>
      <c r="D22" s="70" t="s">
        <v>98</v>
      </c>
      <c r="E22" s="58">
        <f>$E$27*C22</f>
        <v>0.39100000000000001</v>
      </c>
      <c r="F22" s="69">
        <f t="shared" ref="F22:L33" si="3">E22*0.96</f>
        <v>0.37536000000000003</v>
      </c>
      <c r="G22" s="69">
        <f t="shared" si="3"/>
        <v>0.36034559999999999</v>
      </c>
      <c r="H22" s="69">
        <f t="shared" si="3"/>
        <v>0.34593177599999997</v>
      </c>
      <c r="I22" s="69">
        <f t="shared" si="3"/>
        <v>0.33209450495999998</v>
      </c>
      <c r="J22" s="69">
        <f t="shared" si="3"/>
        <v>0.3188107247616</v>
      </c>
      <c r="K22" s="69">
        <f t="shared" si="3"/>
        <v>0.30605829577113597</v>
      </c>
      <c r="L22" s="68">
        <f t="shared" si="3"/>
        <v>0.29381596394029053</v>
      </c>
    </row>
    <row r="23" spans="1:12" x14ac:dyDescent="0.25">
      <c r="A23" s="238"/>
      <c r="B23" s="62" t="s">
        <v>99</v>
      </c>
      <c r="C23" s="61">
        <v>2</v>
      </c>
      <c r="D23" s="60" t="s">
        <v>98</v>
      </c>
      <c r="E23" s="58">
        <f>$E$27*C23</f>
        <v>0.34</v>
      </c>
      <c r="F23" s="58">
        <f t="shared" si="3"/>
        <v>0.32640000000000002</v>
      </c>
      <c r="G23" s="58">
        <f t="shared" si="3"/>
        <v>0.31334400000000001</v>
      </c>
      <c r="H23" s="58">
        <f t="shared" si="3"/>
        <v>0.30081024000000001</v>
      </c>
      <c r="I23" s="58">
        <f t="shared" si="3"/>
        <v>0.28877783039999999</v>
      </c>
      <c r="J23" s="58">
        <f t="shared" si="3"/>
        <v>0.27722671718399999</v>
      </c>
      <c r="K23" s="58">
        <f t="shared" si="3"/>
        <v>0.26613764849664001</v>
      </c>
      <c r="L23" s="57">
        <f t="shared" si="3"/>
        <v>0.25549214255677438</v>
      </c>
    </row>
    <row r="24" spans="1:12" x14ac:dyDescent="0.25">
      <c r="A24" s="238"/>
      <c r="B24" s="62" t="s">
        <v>97</v>
      </c>
      <c r="C24" s="61">
        <v>1.5</v>
      </c>
      <c r="D24" s="60" t="s">
        <v>93</v>
      </c>
      <c r="E24" s="58">
        <f>$E$27*C24</f>
        <v>0.255</v>
      </c>
      <c r="F24" s="58">
        <f t="shared" si="3"/>
        <v>0.24479999999999999</v>
      </c>
      <c r="G24" s="58">
        <f t="shared" si="3"/>
        <v>0.23500799999999999</v>
      </c>
      <c r="H24" s="58">
        <f t="shared" si="3"/>
        <v>0.22560767999999998</v>
      </c>
      <c r="I24" s="58">
        <f t="shared" si="3"/>
        <v>0.21658337279999998</v>
      </c>
      <c r="J24" s="58">
        <f t="shared" si="3"/>
        <v>0.20792003788799998</v>
      </c>
      <c r="K24" s="58">
        <f t="shared" si="3"/>
        <v>0.19960323637247998</v>
      </c>
      <c r="L24" s="57">
        <f t="shared" si="3"/>
        <v>0.19161910691758077</v>
      </c>
    </row>
    <row r="25" spans="1:12" x14ac:dyDescent="0.25">
      <c r="A25" s="238"/>
      <c r="B25" s="62" t="s">
        <v>96</v>
      </c>
      <c r="C25" s="61">
        <v>1.25</v>
      </c>
      <c r="D25" s="60" t="s">
        <v>93</v>
      </c>
      <c r="E25" s="58">
        <f>$E$27*C25</f>
        <v>0.21250000000000002</v>
      </c>
      <c r="F25" s="58">
        <f t="shared" si="3"/>
        <v>0.20400000000000001</v>
      </c>
      <c r="G25" s="58">
        <f t="shared" si="3"/>
        <v>0.19584000000000001</v>
      </c>
      <c r="H25" s="58">
        <f t="shared" si="3"/>
        <v>0.18800640000000002</v>
      </c>
      <c r="I25" s="58">
        <f t="shared" si="3"/>
        <v>0.18048614400000002</v>
      </c>
      <c r="J25" s="58">
        <f t="shared" si="3"/>
        <v>0.17326669824000002</v>
      </c>
      <c r="K25" s="58">
        <f t="shared" si="3"/>
        <v>0.16633603031040001</v>
      </c>
      <c r="L25" s="57">
        <f t="shared" si="3"/>
        <v>0.159682589097984</v>
      </c>
    </row>
    <row r="26" spans="1:12" x14ac:dyDescent="0.25">
      <c r="A26" s="238"/>
      <c r="B26" s="62" t="s">
        <v>95</v>
      </c>
      <c r="C26" s="61">
        <v>1.1000000000000001</v>
      </c>
      <c r="D26" s="60" t="s">
        <v>93</v>
      </c>
      <c r="E26" s="58">
        <f>$E$27*C26</f>
        <v>0.18700000000000003</v>
      </c>
      <c r="F26" s="58">
        <f t="shared" si="3"/>
        <v>0.17952000000000001</v>
      </c>
      <c r="G26" s="58">
        <f t="shared" si="3"/>
        <v>0.1723392</v>
      </c>
      <c r="H26" s="58">
        <f t="shared" si="3"/>
        <v>0.16544563199999998</v>
      </c>
      <c r="I26" s="58">
        <f t="shared" si="3"/>
        <v>0.15882780671999996</v>
      </c>
      <c r="J26" s="58">
        <f t="shared" si="3"/>
        <v>0.15247469445119996</v>
      </c>
      <c r="K26" s="58">
        <f t="shared" si="3"/>
        <v>0.14637570667315195</v>
      </c>
      <c r="L26" s="57">
        <f t="shared" si="3"/>
        <v>0.14052067840622587</v>
      </c>
    </row>
    <row r="27" spans="1:12" ht="15.75" thickBot="1" x14ac:dyDescent="0.3">
      <c r="A27" s="239"/>
      <c r="B27" s="56" t="s">
        <v>94</v>
      </c>
      <c r="C27" s="55">
        <v>1</v>
      </c>
      <c r="D27" s="54" t="s">
        <v>93</v>
      </c>
      <c r="E27" s="53">
        <v>0.17</v>
      </c>
      <c r="F27" s="53">
        <f t="shared" si="3"/>
        <v>0.16320000000000001</v>
      </c>
      <c r="G27" s="53">
        <f t="shared" si="3"/>
        <v>0.15667200000000001</v>
      </c>
      <c r="H27" s="53">
        <f t="shared" si="3"/>
        <v>0.15040512</v>
      </c>
      <c r="I27" s="53">
        <f t="shared" si="3"/>
        <v>0.1443889152</v>
      </c>
      <c r="J27" s="53">
        <f t="shared" si="3"/>
        <v>0.138613358592</v>
      </c>
      <c r="K27" s="53">
        <f t="shared" si="3"/>
        <v>0.13306882424832001</v>
      </c>
      <c r="L27" s="52">
        <f t="shared" si="3"/>
        <v>0.12774607127838719</v>
      </c>
    </row>
    <row r="28" spans="1:12" x14ac:dyDescent="0.25">
      <c r="A28" s="237" t="s">
        <v>101</v>
      </c>
      <c r="B28" s="67" t="s">
        <v>100</v>
      </c>
      <c r="C28" s="66">
        <v>2.2999999999999998</v>
      </c>
      <c r="D28" s="65" t="s">
        <v>98</v>
      </c>
      <c r="E28" s="59">
        <f>$E$33*C28</f>
        <v>0.32862399999999997</v>
      </c>
      <c r="F28" s="64">
        <f t="shared" si="3"/>
        <v>0.31547903999999999</v>
      </c>
      <c r="G28" s="64">
        <f t="shared" si="3"/>
        <v>0.3028598784</v>
      </c>
      <c r="H28" s="64">
        <f t="shared" si="3"/>
        <v>0.29074548326400002</v>
      </c>
      <c r="I28" s="64">
        <f t="shared" si="3"/>
        <v>0.27911566393344001</v>
      </c>
      <c r="J28" s="64">
        <f t="shared" si="3"/>
        <v>0.26795103737610237</v>
      </c>
      <c r="K28" s="64">
        <f t="shared" si="3"/>
        <v>0.25723299588105825</v>
      </c>
      <c r="L28" s="63">
        <f t="shared" si="3"/>
        <v>0.24694367604581591</v>
      </c>
    </row>
    <row r="29" spans="1:12" x14ac:dyDescent="0.25">
      <c r="A29" s="238"/>
      <c r="B29" s="62" t="s">
        <v>99</v>
      </c>
      <c r="C29" s="61">
        <v>2</v>
      </c>
      <c r="D29" s="60" t="s">
        <v>98</v>
      </c>
      <c r="E29" s="59">
        <f>$E$33*C29</f>
        <v>0.28576000000000001</v>
      </c>
      <c r="F29" s="58">
        <f t="shared" si="3"/>
        <v>0.27432960000000001</v>
      </c>
      <c r="G29" s="58">
        <f t="shared" si="3"/>
        <v>0.26335641599999998</v>
      </c>
      <c r="H29" s="58">
        <f t="shared" si="3"/>
        <v>0.25282215935999997</v>
      </c>
      <c r="I29" s="58">
        <f t="shared" si="3"/>
        <v>0.24270927298559997</v>
      </c>
      <c r="J29" s="58">
        <f t="shared" si="3"/>
        <v>0.23300090206617596</v>
      </c>
      <c r="K29" s="58">
        <f t="shared" si="3"/>
        <v>0.2236808659835289</v>
      </c>
      <c r="L29" s="57">
        <f t="shared" si="3"/>
        <v>0.21473363134418774</v>
      </c>
    </row>
    <row r="30" spans="1:12" x14ac:dyDescent="0.25">
      <c r="A30" s="238"/>
      <c r="B30" s="62" t="s">
        <v>97</v>
      </c>
      <c r="C30" s="61">
        <v>1.5</v>
      </c>
      <c r="D30" s="60" t="s">
        <v>93</v>
      </c>
      <c r="E30" s="59">
        <f>$E$33*C30</f>
        <v>0.21432000000000001</v>
      </c>
      <c r="F30" s="58">
        <f t="shared" si="3"/>
        <v>0.20574719999999999</v>
      </c>
      <c r="G30" s="58">
        <f t="shared" si="3"/>
        <v>0.19751731199999997</v>
      </c>
      <c r="H30" s="58">
        <f t="shared" si="3"/>
        <v>0.18961661951999997</v>
      </c>
      <c r="I30" s="58">
        <f t="shared" si="3"/>
        <v>0.18203195473919997</v>
      </c>
      <c r="J30" s="58">
        <f t="shared" si="3"/>
        <v>0.17475067654963197</v>
      </c>
      <c r="K30" s="58">
        <f t="shared" si="3"/>
        <v>0.16776064948764668</v>
      </c>
      <c r="L30" s="57">
        <f t="shared" si="3"/>
        <v>0.1610502235081408</v>
      </c>
    </row>
    <row r="31" spans="1:12" x14ac:dyDescent="0.25">
      <c r="A31" s="238"/>
      <c r="B31" s="62" t="s">
        <v>96</v>
      </c>
      <c r="C31" s="61">
        <v>1.25</v>
      </c>
      <c r="D31" s="60" t="s">
        <v>93</v>
      </c>
      <c r="E31" s="59">
        <f>$E$33*C31</f>
        <v>0.17860000000000001</v>
      </c>
      <c r="F31" s="58">
        <f t="shared" si="3"/>
        <v>0.171456</v>
      </c>
      <c r="G31" s="58">
        <f t="shared" si="3"/>
        <v>0.16459775999999998</v>
      </c>
      <c r="H31" s="58">
        <f t="shared" si="3"/>
        <v>0.15801384959999998</v>
      </c>
      <c r="I31" s="58">
        <f t="shared" si="3"/>
        <v>0.15169329561599998</v>
      </c>
      <c r="J31" s="58">
        <f t="shared" si="3"/>
        <v>0.14562556379135996</v>
      </c>
      <c r="K31" s="58">
        <f t="shared" si="3"/>
        <v>0.13980054123970556</v>
      </c>
      <c r="L31" s="57">
        <f t="shared" si="3"/>
        <v>0.13420851959011734</v>
      </c>
    </row>
    <row r="32" spans="1:12" x14ac:dyDescent="0.25">
      <c r="A32" s="238"/>
      <c r="B32" s="62" t="s">
        <v>95</v>
      </c>
      <c r="C32" s="61">
        <v>1.1000000000000001</v>
      </c>
      <c r="D32" s="60" t="s">
        <v>93</v>
      </c>
      <c r="E32" s="59">
        <f>$E$33*C32</f>
        <v>0.15716800000000003</v>
      </c>
      <c r="F32" s="58">
        <f t="shared" si="3"/>
        <v>0.15088128000000003</v>
      </c>
      <c r="G32" s="58">
        <f t="shared" si="3"/>
        <v>0.14484602880000003</v>
      </c>
      <c r="H32" s="58">
        <f t="shared" si="3"/>
        <v>0.13905218764800001</v>
      </c>
      <c r="I32" s="58">
        <f t="shared" si="3"/>
        <v>0.13349010014208001</v>
      </c>
      <c r="J32" s="58">
        <f t="shared" si="3"/>
        <v>0.12815049613639681</v>
      </c>
      <c r="K32" s="58">
        <f t="shared" si="3"/>
        <v>0.12302447629094093</v>
      </c>
      <c r="L32" s="57">
        <f t="shared" si="3"/>
        <v>0.11810349723930329</v>
      </c>
    </row>
    <row r="33" spans="1:12" ht="15.75" thickBot="1" x14ac:dyDescent="0.3">
      <c r="A33" s="239"/>
      <c r="B33" s="56" t="s">
        <v>94</v>
      </c>
      <c r="C33" s="55">
        <v>1</v>
      </c>
      <c r="D33" s="54" t="s">
        <v>93</v>
      </c>
      <c r="E33" s="53">
        <v>0.14288000000000001</v>
      </c>
      <c r="F33" s="53">
        <f t="shared" si="3"/>
        <v>0.1371648</v>
      </c>
      <c r="G33" s="53">
        <f t="shared" si="3"/>
        <v>0.13167820799999999</v>
      </c>
      <c r="H33" s="53">
        <f t="shared" si="3"/>
        <v>0.12641107967999998</v>
      </c>
      <c r="I33" s="53">
        <f t="shared" si="3"/>
        <v>0.12135463649279998</v>
      </c>
      <c r="J33" s="53">
        <f t="shared" si="3"/>
        <v>0.11650045103308798</v>
      </c>
      <c r="K33" s="53">
        <f t="shared" si="3"/>
        <v>0.11184043299176445</v>
      </c>
      <c r="L33" s="52">
        <f t="shared" si="3"/>
        <v>0.10736681567209387</v>
      </c>
    </row>
    <row r="34" spans="1:12" x14ac:dyDescent="0.25">
      <c r="A34" s="51" t="s">
        <v>74</v>
      </c>
    </row>
    <row r="35" spans="1:12" ht="111" customHeight="1" x14ac:dyDescent="0.25">
      <c r="A35" s="235" t="s">
        <v>92</v>
      </c>
      <c r="B35" s="235"/>
      <c r="C35" s="235"/>
      <c r="D35" s="235"/>
      <c r="E35" s="235"/>
      <c r="F35" s="235"/>
      <c r="G35" s="235"/>
      <c r="H35" s="235"/>
      <c r="I35" s="235"/>
      <c r="J35" s="235"/>
      <c r="K35" s="235"/>
      <c r="L35" s="235"/>
    </row>
    <row r="36" spans="1:12" ht="31.5" customHeight="1" x14ac:dyDescent="0.25">
      <c r="A36" s="235" t="s">
        <v>91</v>
      </c>
      <c r="B36" s="235"/>
      <c r="C36" s="235"/>
      <c r="D36" s="235"/>
      <c r="E36" s="235"/>
      <c r="F36" s="235"/>
      <c r="G36" s="235"/>
      <c r="H36" s="235"/>
      <c r="I36" s="235"/>
      <c r="J36" s="235"/>
      <c r="K36" s="235"/>
      <c r="L36" s="235"/>
    </row>
    <row r="37" spans="1:12" ht="31.5" customHeight="1" x14ac:dyDescent="0.25">
      <c r="A37" s="235" t="s">
        <v>90</v>
      </c>
      <c r="B37" s="235"/>
      <c r="C37" s="235"/>
      <c r="D37" s="235"/>
      <c r="E37" s="235"/>
      <c r="F37" s="235"/>
      <c r="G37" s="235"/>
      <c r="H37" s="235"/>
      <c r="I37" s="235"/>
      <c r="J37" s="235"/>
      <c r="K37" s="235"/>
      <c r="L37" s="235"/>
    </row>
    <row r="38" spans="1:12" ht="75.75" customHeight="1" x14ac:dyDescent="0.25">
      <c r="A38" s="235" t="s">
        <v>89</v>
      </c>
      <c r="B38" s="235"/>
      <c r="C38" s="235"/>
      <c r="D38" s="235"/>
      <c r="E38" s="235"/>
      <c r="F38" s="235"/>
      <c r="G38" s="235"/>
      <c r="H38" s="235"/>
      <c r="I38" s="235"/>
      <c r="J38" s="235"/>
      <c r="K38" s="235"/>
      <c r="L38" s="235"/>
    </row>
    <row r="39" spans="1:12" ht="30" customHeight="1" x14ac:dyDescent="0.25">
      <c r="A39" s="235" t="s">
        <v>88</v>
      </c>
      <c r="B39" s="235"/>
      <c r="C39" s="235"/>
      <c r="D39" s="235"/>
      <c r="E39" s="235"/>
      <c r="F39" s="235"/>
      <c r="G39" s="235"/>
      <c r="H39" s="235"/>
      <c r="I39" s="235"/>
      <c r="J39" s="235"/>
      <c r="K39" s="235"/>
      <c r="L39" s="235"/>
    </row>
    <row r="40" spans="1:12" ht="75.75" customHeight="1" x14ac:dyDescent="0.25">
      <c r="A40" s="234" t="s">
        <v>303</v>
      </c>
      <c r="B40" s="234"/>
      <c r="C40" s="234"/>
      <c r="D40" s="234"/>
      <c r="E40" s="234"/>
      <c r="F40" s="234"/>
      <c r="G40" s="234"/>
      <c r="H40" s="234"/>
      <c r="I40" s="234"/>
      <c r="J40" s="234"/>
      <c r="K40" s="234"/>
      <c r="L40" s="234"/>
    </row>
    <row r="41" spans="1:12" ht="30.75" customHeight="1" x14ac:dyDescent="0.25">
      <c r="A41" s="234" t="s">
        <v>87</v>
      </c>
      <c r="B41" s="234"/>
      <c r="C41" s="234"/>
      <c r="D41" s="234"/>
      <c r="E41" s="234"/>
      <c r="F41" s="234"/>
      <c r="G41" s="234"/>
      <c r="H41" s="234"/>
      <c r="I41" s="234"/>
      <c r="J41" s="234"/>
      <c r="K41" s="234"/>
      <c r="L41" s="234"/>
    </row>
  </sheetData>
  <sheetProtection password="C274" sheet="1" objects="1" scenarios="1"/>
  <mergeCells count="15">
    <mergeCell ref="A41:L41"/>
    <mergeCell ref="A40:L40"/>
    <mergeCell ref="A39:L39"/>
    <mergeCell ref="A1:L2"/>
    <mergeCell ref="A10:A15"/>
    <mergeCell ref="A22:A27"/>
    <mergeCell ref="A28:A33"/>
    <mergeCell ref="A4:A9"/>
    <mergeCell ref="A16:A21"/>
    <mergeCell ref="G16:L21"/>
    <mergeCell ref="I4:L9"/>
    <mergeCell ref="A35:L35"/>
    <mergeCell ref="A36:L36"/>
    <mergeCell ref="A38:L38"/>
    <mergeCell ref="A37:L37"/>
  </mergeCells>
  <pageMargins left="0.7" right="0.7" top="0.75" bottom="0.75" header="0.3" footer="0.3"/>
  <pageSetup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workbookViewId="0">
      <selection sqref="A1:J2"/>
    </sheetView>
  </sheetViews>
  <sheetFormatPr defaultRowHeight="15" x14ac:dyDescent="0.25"/>
  <cols>
    <col min="1" max="1" width="13.5703125" style="50" bestFit="1" customWidth="1"/>
    <col min="2" max="2" width="48.7109375" style="50" bestFit="1" customWidth="1"/>
    <col min="3" max="10" width="14" style="50" customWidth="1"/>
    <col min="11" max="16384" width="9.140625" style="50"/>
  </cols>
  <sheetData>
    <row r="1" spans="1:12" ht="15" customHeight="1" x14ac:dyDescent="0.25">
      <c r="A1" s="236" t="s">
        <v>151</v>
      </c>
      <c r="B1" s="236"/>
      <c r="C1" s="236"/>
      <c r="D1" s="236"/>
      <c r="E1" s="236"/>
      <c r="F1" s="236"/>
      <c r="G1" s="236"/>
      <c r="H1" s="236"/>
      <c r="I1" s="236"/>
      <c r="J1" s="236"/>
      <c r="K1" s="113"/>
      <c r="L1" s="113"/>
    </row>
    <row r="2" spans="1:12" ht="15.75" customHeight="1" thickBot="1" x14ac:dyDescent="0.3">
      <c r="A2" s="236"/>
      <c r="B2" s="236"/>
      <c r="C2" s="236"/>
      <c r="D2" s="236"/>
      <c r="E2" s="236"/>
      <c r="F2" s="236"/>
      <c r="G2" s="236"/>
      <c r="H2" s="236"/>
      <c r="I2" s="236"/>
      <c r="J2" s="236"/>
      <c r="K2" s="113"/>
      <c r="L2" s="113"/>
    </row>
    <row r="3" spans="1:12" x14ac:dyDescent="0.25">
      <c r="A3" s="258" t="s">
        <v>150</v>
      </c>
      <c r="B3" s="251" t="s">
        <v>149</v>
      </c>
      <c r="C3" s="251" t="s">
        <v>148</v>
      </c>
      <c r="D3" s="252"/>
      <c r="E3" s="252"/>
      <c r="F3" s="252"/>
      <c r="G3" s="252"/>
      <c r="H3" s="252"/>
      <c r="I3" s="252"/>
      <c r="J3" s="253"/>
    </row>
    <row r="4" spans="1:12" ht="26.25" thickBot="1" x14ac:dyDescent="0.3">
      <c r="A4" s="259"/>
      <c r="B4" s="257"/>
      <c r="C4" s="112" t="s">
        <v>147</v>
      </c>
      <c r="D4" s="111" t="s">
        <v>146</v>
      </c>
      <c r="E4" s="111" t="s">
        <v>145</v>
      </c>
      <c r="F4" s="111" t="s">
        <v>144</v>
      </c>
      <c r="G4" s="111" t="s">
        <v>143</v>
      </c>
      <c r="H4" s="111" t="s">
        <v>142</v>
      </c>
      <c r="I4" s="111" t="s">
        <v>141</v>
      </c>
      <c r="J4" s="110" t="s">
        <v>140</v>
      </c>
    </row>
    <row r="5" spans="1:12" x14ac:dyDescent="0.25">
      <c r="A5" s="254" t="s">
        <v>139</v>
      </c>
      <c r="B5" s="109" t="s">
        <v>138</v>
      </c>
      <c r="C5" s="108">
        <v>0.02</v>
      </c>
      <c r="D5" s="107">
        <f t="shared" ref="D5:J14" si="0">C5*0.96</f>
        <v>1.9199999999999998E-2</v>
      </c>
      <c r="E5" s="106">
        <f t="shared" si="0"/>
        <v>1.8431999999999997E-2</v>
      </c>
      <c r="F5" s="106">
        <f t="shared" si="0"/>
        <v>1.7694719999999997E-2</v>
      </c>
      <c r="G5" s="106">
        <f t="shared" si="0"/>
        <v>1.6986931199999996E-2</v>
      </c>
      <c r="H5" s="106">
        <f t="shared" si="0"/>
        <v>1.6307453951999996E-2</v>
      </c>
      <c r="I5" s="106">
        <f t="shared" si="0"/>
        <v>1.5655155793919996E-2</v>
      </c>
      <c r="J5" s="105">
        <f t="shared" si="0"/>
        <v>1.5028949562163196E-2</v>
      </c>
    </row>
    <row r="6" spans="1:12" x14ac:dyDescent="0.25">
      <c r="A6" s="255"/>
      <c r="B6" s="104" t="s">
        <v>137</v>
      </c>
      <c r="C6" s="103">
        <v>0.03</v>
      </c>
      <c r="D6" s="102">
        <f t="shared" si="0"/>
        <v>2.8799999999999999E-2</v>
      </c>
      <c r="E6" s="101">
        <f t="shared" si="0"/>
        <v>2.7647999999999999E-2</v>
      </c>
      <c r="F6" s="101">
        <f t="shared" si="0"/>
        <v>2.6542079999999999E-2</v>
      </c>
      <c r="G6" s="101">
        <f t="shared" si="0"/>
        <v>2.5480396799999999E-2</v>
      </c>
      <c r="H6" s="101">
        <f t="shared" si="0"/>
        <v>2.4461180927999999E-2</v>
      </c>
      <c r="I6" s="101">
        <f t="shared" si="0"/>
        <v>2.3482733690879998E-2</v>
      </c>
      <c r="J6" s="100">
        <f t="shared" si="0"/>
        <v>2.2543424343244797E-2</v>
      </c>
    </row>
    <row r="7" spans="1:12" x14ac:dyDescent="0.25">
      <c r="A7" s="255"/>
      <c r="B7" s="104" t="s">
        <v>136</v>
      </c>
      <c r="C7" s="103">
        <v>0.03</v>
      </c>
      <c r="D7" s="102">
        <f t="shared" si="0"/>
        <v>2.8799999999999999E-2</v>
      </c>
      <c r="E7" s="101">
        <f t="shared" si="0"/>
        <v>2.7647999999999999E-2</v>
      </c>
      <c r="F7" s="101">
        <f t="shared" si="0"/>
        <v>2.6542079999999999E-2</v>
      </c>
      <c r="G7" s="101">
        <f t="shared" si="0"/>
        <v>2.5480396799999999E-2</v>
      </c>
      <c r="H7" s="101">
        <f t="shared" si="0"/>
        <v>2.4461180927999999E-2</v>
      </c>
      <c r="I7" s="101">
        <f t="shared" si="0"/>
        <v>2.3482733690879998E-2</v>
      </c>
      <c r="J7" s="100">
        <f t="shared" si="0"/>
        <v>2.2543424343244797E-2</v>
      </c>
    </row>
    <row r="8" spans="1:12" x14ac:dyDescent="0.25">
      <c r="A8" s="255"/>
      <c r="B8" s="104" t="s">
        <v>135</v>
      </c>
      <c r="C8" s="103">
        <v>0.04</v>
      </c>
      <c r="D8" s="102">
        <f t="shared" si="0"/>
        <v>3.8399999999999997E-2</v>
      </c>
      <c r="E8" s="101">
        <f t="shared" si="0"/>
        <v>3.6863999999999994E-2</v>
      </c>
      <c r="F8" s="101">
        <f t="shared" si="0"/>
        <v>3.5389439999999994E-2</v>
      </c>
      <c r="G8" s="101">
        <f t="shared" si="0"/>
        <v>3.3973862399999992E-2</v>
      </c>
      <c r="H8" s="101">
        <f t="shared" si="0"/>
        <v>3.2614907903999991E-2</v>
      </c>
      <c r="I8" s="101">
        <f t="shared" si="0"/>
        <v>3.1310311587839992E-2</v>
      </c>
      <c r="J8" s="100">
        <f t="shared" si="0"/>
        <v>3.0057899124326392E-2</v>
      </c>
    </row>
    <row r="9" spans="1:12" x14ac:dyDescent="0.25">
      <c r="A9" s="255"/>
      <c r="B9" s="104" t="s">
        <v>134</v>
      </c>
      <c r="C9" s="103">
        <v>0.06</v>
      </c>
      <c r="D9" s="102">
        <f t="shared" si="0"/>
        <v>5.7599999999999998E-2</v>
      </c>
      <c r="E9" s="101">
        <f t="shared" si="0"/>
        <v>5.5295999999999998E-2</v>
      </c>
      <c r="F9" s="101">
        <f t="shared" si="0"/>
        <v>5.3084159999999998E-2</v>
      </c>
      <c r="G9" s="101">
        <f t="shared" si="0"/>
        <v>5.0960793599999998E-2</v>
      </c>
      <c r="H9" s="101">
        <f t="shared" si="0"/>
        <v>4.8922361855999998E-2</v>
      </c>
      <c r="I9" s="101">
        <f t="shared" si="0"/>
        <v>4.6965467381759995E-2</v>
      </c>
      <c r="J9" s="100">
        <f t="shared" si="0"/>
        <v>4.5086848686489593E-2</v>
      </c>
    </row>
    <row r="10" spans="1:12" ht="15.75" thickBot="1" x14ac:dyDescent="0.3">
      <c r="A10" s="256"/>
      <c r="B10" s="99" t="s">
        <v>133</v>
      </c>
      <c r="C10" s="98">
        <v>0.06</v>
      </c>
      <c r="D10" s="97">
        <f t="shared" si="0"/>
        <v>5.7599999999999998E-2</v>
      </c>
      <c r="E10" s="96">
        <f t="shared" si="0"/>
        <v>5.5295999999999998E-2</v>
      </c>
      <c r="F10" s="96">
        <f t="shared" si="0"/>
        <v>5.3084159999999998E-2</v>
      </c>
      <c r="G10" s="96">
        <f t="shared" si="0"/>
        <v>5.0960793599999998E-2</v>
      </c>
      <c r="H10" s="96">
        <f t="shared" si="0"/>
        <v>4.8922361855999998E-2</v>
      </c>
      <c r="I10" s="96">
        <f t="shared" si="0"/>
        <v>4.6965467381759995E-2</v>
      </c>
      <c r="J10" s="95">
        <f t="shared" si="0"/>
        <v>4.5086848686489593E-2</v>
      </c>
    </row>
    <row r="11" spans="1:12" x14ac:dyDescent="0.25">
      <c r="A11" s="254" t="s">
        <v>132</v>
      </c>
      <c r="B11" s="109" t="s">
        <v>131</v>
      </c>
      <c r="C11" s="108">
        <v>0.05</v>
      </c>
      <c r="D11" s="107">
        <f t="shared" si="0"/>
        <v>4.8000000000000001E-2</v>
      </c>
      <c r="E11" s="106">
        <f t="shared" si="0"/>
        <v>4.6079999999999996E-2</v>
      </c>
      <c r="F11" s="106">
        <f t="shared" si="0"/>
        <v>4.4236799999999993E-2</v>
      </c>
      <c r="G11" s="106">
        <f t="shared" si="0"/>
        <v>4.2467327999999992E-2</v>
      </c>
      <c r="H11" s="106">
        <f t="shared" si="0"/>
        <v>4.0768634879999988E-2</v>
      </c>
      <c r="I11" s="106">
        <f t="shared" si="0"/>
        <v>3.9137889484799987E-2</v>
      </c>
      <c r="J11" s="105">
        <f t="shared" si="0"/>
        <v>3.7572373905407984E-2</v>
      </c>
    </row>
    <row r="12" spans="1:12" x14ac:dyDescent="0.25">
      <c r="A12" s="255"/>
      <c r="B12" s="104" t="s">
        <v>130</v>
      </c>
      <c r="C12" s="103">
        <v>0.03</v>
      </c>
      <c r="D12" s="102">
        <f t="shared" si="0"/>
        <v>2.8799999999999999E-2</v>
      </c>
      <c r="E12" s="101">
        <f t="shared" si="0"/>
        <v>2.7647999999999999E-2</v>
      </c>
      <c r="F12" s="101">
        <f t="shared" si="0"/>
        <v>2.6542079999999999E-2</v>
      </c>
      <c r="G12" s="101">
        <f t="shared" si="0"/>
        <v>2.5480396799999999E-2</v>
      </c>
      <c r="H12" s="101">
        <f t="shared" si="0"/>
        <v>2.4461180927999999E-2</v>
      </c>
      <c r="I12" s="101">
        <f t="shared" si="0"/>
        <v>2.3482733690879998E-2</v>
      </c>
      <c r="J12" s="100">
        <f t="shared" si="0"/>
        <v>2.2543424343244797E-2</v>
      </c>
    </row>
    <row r="13" spans="1:12" x14ac:dyDescent="0.25">
      <c r="A13" s="255"/>
      <c r="B13" s="104" t="s">
        <v>129</v>
      </c>
      <c r="C13" s="103">
        <v>0.06</v>
      </c>
      <c r="D13" s="102">
        <f t="shared" si="0"/>
        <v>5.7599999999999998E-2</v>
      </c>
      <c r="E13" s="101">
        <f t="shared" si="0"/>
        <v>5.5295999999999998E-2</v>
      </c>
      <c r="F13" s="101">
        <f t="shared" si="0"/>
        <v>5.3084159999999998E-2</v>
      </c>
      <c r="G13" s="101">
        <f t="shared" si="0"/>
        <v>5.0960793599999998E-2</v>
      </c>
      <c r="H13" s="101">
        <f t="shared" si="0"/>
        <v>4.8922361855999998E-2</v>
      </c>
      <c r="I13" s="101">
        <f t="shared" si="0"/>
        <v>4.6965467381759995E-2</v>
      </c>
      <c r="J13" s="100">
        <f t="shared" si="0"/>
        <v>4.5086848686489593E-2</v>
      </c>
    </row>
    <row r="14" spans="1:12" ht="15.75" thickBot="1" x14ac:dyDescent="0.3">
      <c r="A14" s="256"/>
      <c r="B14" s="99" t="s">
        <v>128</v>
      </c>
      <c r="C14" s="98">
        <v>0.02</v>
      </c>
      <c r="D14" s="97">
        <f t="shared" si="0"/>
        <v>1.9199999999999998E-2</v>
      </c>
      <c r="E14" s="96">
        <f t="shared" si="0"/>
        <v>1.8431999999999997E-2</v>
      </c>
      <c r="F14" s="96">
        <f t="shared" si="0"/>
        <v>1.7694719999999997E-2</v>
      </c>
      <c r="G14" s="96">
        <f t="shared" si="0"/>
        <v>1.6986931199999996E-2</v>
      </c>
      <c r="H14" s="96">
        <f t="shared" si="0"/>
        <v>1.6307453951999996E-2</v>
      </c>
      <c r="I14" s="96">
        <f t="shared" si="0"/>
        <v>1.5655155793919996E-2</v>
      </c>
      <c r="J14" s="95">
        <f t="shared" si="0"/>
        <v>1.5028949562163196E-2</v>
      </c>
    </row>
    <row r="15" spans="1:12" ht="15.75" thickBot="1" x14ac:dyDescent="0.3">
      <c r="A15" s="94" t="s">
        <v>127</v>
      </c>
      <c r="B15" s="93" t="s">
        <v>126</v>
      </c>
      <c r="C15" s="92" t="s">
        <v>125</v>
      </c>
      <c r="D15" s="91" t="s">
        <v>125</v>
      </c>
      <c r="E15" s="90" t="s">
        <v>125</v>
      </c>
      <c r="F15" s="90" t="s">
        <v>125</v>
      </c>
      <c r="G15" s="90" t="s">
        <v>125</v>
      </c>
      <c r="H15" s="90" t="s">
        <v>125</v>
      </c>
      <c r="I15" s="90" t="s">
        <v>125</v>
      </c>
      <c r="J15" s="89" t="s">
        <v>125</v>
      </c>
    </row>
    <row r="16" spans="1:12" ht="15.75" thickBot="1" x14ac:dyDescent="0.3">
      <c r="A16" s="94" t="s">
        <v>124</v>
      </c>
      <c r="B16" s="93" t="s">
        <v>123</v>
      </c>
      <c r="C16" s="92">
        <v>0.01</v>
      </c>
      <c r="D16" s="91">
        <f t="shared" ref="D16:J16" si="1">C16*0.96</f>
        <v>9.5999999999999992E-3</v>
      </c>
      <c r="E16" s="90">
        <f t="shared" si="1"/>
        <v>9.2159999999999985E-3</v>
      </c>
      <c r="F16" s="90">
        <f t="shared" si="1"/>
        <v>8.8473599999999986E-3</v>
      </c>
      <c r="G16" s="90">
        <f t="shared" si="1"/>
        <v>8.493465599999998E-3</v>
      </c>
      <c r="H16" s="90">
        <f t="shared" si="1"/>
        <v>8.1537269759999979E-3</v>
      </c>
      <c r="I16" s="90">
        <f t="shared" si="1"/>
        <v>7.8275778969599981E-3</v>
      </c>
      <c r="J16" s="89">
        <f t="shared" si="1"/>
        <v>7.514474781081598E-3</v>
      </c>
    </row>
    <row r="17" spans="1:10" x14ac:dyDescent="0.25">
      <c r="A17" s="88" t="s">
        <v>74</v>
      </c>
    </row>
    <row r="18" spans="1:10" ht="48" customHeight="1" x14ac:dyDescent="0.25">
      <c r="A18" s="234" t="s">
        <v>122</v>
      </c>
      <c r="B18" s="234"/>
      <c r="C18" s="234"/>
      <c r="D18" s="234"/>
      <c r="E18" s="234"/>
      <c r="F18" s="234"/>
      <c r="G18" s="234"/>
      <c r="H18" s="234"/>
      <c r="I18" s="234"/>
      <c r="J18" s="234"/>
    </row>
    <row r="19" spans="1:10" ht="33" customHeight="1" x14ac:dyDescent="0.25">
      <c r="A19" s="249" t="s">
        <v>121</v>
      </c>
      <c r="B19" s="249"/>
      <c r="C19" s="249"/>
      <c r="D19" s="249"/>
      <c r="E19" s="249"/>
      <c r="F19" s="249"/>
      <c r="G19" s="249"/>
      <c r="H19" s="249"/>
      <c r="I19" s="249"/>
      <c r="J19" s="249"/>
    </row>
    <row r="20" spans="1:10" ht="34.5" customHeight="1" x14ac:dyDescent="0.25">
      <c r="A20" s="250" t="s">
        <v>120</v>
      </c>
      <c r="B20" s="250"/>
      <c r="C20" s="250"/>
      <c r="D20" s="250"/>
      <c r="E20" s="250"/>
      <c r="F20" s="250"/>
      <c r="G20" s="250"/>
      <c r="H20" s="250"/>
      <c r="I20" s="250"/>
      <c r="J20" s="250"/>
    </row>
  </sheetData>
  <sheetProtection password="C274" sheet="1" objects="1" scenarios="1"/>
  <mergeCells count="9">
    <mergeCell ref="A19:J19"/>
    <mergeCell ref="A20:J20"/>
    <mergeCell ref="C3:J3"/>
    <mergeCell ref="A1:J2"/>
    <mergeCell ref="A18:J18"/>
    <mergeCell ref="A5:A10"/>
    <mergeCell ref="A11:A14"/>
    <mergeCell ref="B3:B4"/>
    <mergeCell ref="A3:A4"/>
  </mergeCells>
  <pageMargins left="0.7" right="0.7" top="0.75" bottom="0.75" header="0.3" footer="0.3"/>
  <pageSetup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38</vt:i4>
      </vt:variant>
    </vt:vector>
  </HeadingPairs>
  <TitlesOfParts>
    <vt:vector size="49" baseType="lpstr">
      <vt:lpstr>Calculator</vt:lpstr>
      <vt:lpstr>Tables</vt:lpstr>
      <vt:lpstr>Eversource</vt:lpstr>
      <vt:lpstr>Unitil</vt:lpstr>
      <vt:lpstr>VOE</vt:lpstr>
      <vt:lpstr>National Grid</vt:lpstr>
      <vt:lpstr>Basic Service Rates</vt:lpstr>
      <vt:lpstr>Base Compensation Rates</vt:lpstr>
      <vt:lpstr>Compensation Rate Adders</vt:lpstr>
      <vt:lpstr>Base rates</vt:lpstr>
      <vt:lpstr>Adders</vt:lpstr>
      <vt:lpstr>Cambridge</vt:lpstr>
      <vt:lpstr>CapacityBlock</vt:lpstr>
      <vt:lpstr>EasternMass</vt:lpstr>
      <vt:lpstr>EDC</vt:lpstr>
      <vt:lpstr>Eversource</vt:lpstr>
      <vt:lpstr>EversourceCambridge</vt:lpstr>
      <vt:lpstr>EversourceGreaterBoston</vt:lpstr>
      <vt:lpstr>EversourceSouthShoreCCVinyard</vt:lpstr>
      <vt:lpstr>EversourceWesternMass</vt:lpstr>
      <vt:lpstr>GreaterBoston</vt:lpstr>
      <vt:lpstr>LocationAdder</vt:lpstr>
      <vt:lpstr>LocationColumn</vt:lpstr>
      <vt:lpstr>Low</vt:lpstr>
      <vt:lpstr>MassElectric</vt:lpstr>
      <vt:lpstr>MENationalGrid</vt:lpstr>
      <vt:lpstr>MENG</vt:lpstr>
      <vt:lpstr>NantucketElectric</vt:lpstr>
      <vt:lpstr>NationalGrid</vt:lpstr>
      <vt:lpstr>NationalGridMassElectric</vt:lpstr>
      <vt:lpstr>NationalGridNantucketElectric</vt:lpstr>
      <vt:lpstr>NENationalGrid</vt:lpstr>
      <vt:lpstr>NENG</vt:lpstr>
      <vt:lpstr>NotLow</vt:lpstr>
      <vt:lpstr>OffTakerAdder</vt:lpstr>
      <vt:lpstr>ProjectSize</vt:lpstr>
      <vt:lpstr>Size2Column</vt:lpstr>
      <vt:lpstr>Size2Start</vt:lpstr>
      <vt:lpstr>Size3Column</vt:lpstr>
      <vt:lpstr>Size3Start</vt:lpstr>
      <vt:lpstr>SizeColumn</vt:lpstr>
      <vt:lpstr>SizeList</vt:lpstr>
      <vt:lpstr>SizeStart</vt:lpstr>
      <vt:lpstr>SouthShoreCCVinyard</vt:lpstr>
      <vt:lpstr>TrackingAdder</vt:lpstr>
      <vt:lpstr>Unitil</vt:lpstr>
      <vt:lpstr>UnitilFitch</vt:lpstr>
      <vt:lpstr>UnitilUnitilFitch</vt:lpstr>
      <vt:lpstr>WesternMass</vt:lpstr>
    </vt:vector>
  </TitlesOfParts>
  <Company>EOEEA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Judge</dc:creator>
  <cp:lastModifiedBy>Kaitlin Kelly</cp:lastModifiedBy>
  <dcterms:created xsi:type="dcterms:W3CDTF">2017-12-20T16:04:51Z</dcterms:created>
  <dcterms:modified xsi:type="dcterms:W3CDTF">2018-05-01T20:09:24Z</dcterms:modified>
</cp:coreProperties>
</file>