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star-docs\Health Center\HC Documents\Nextgen\Health Care Policy Commission testimony\"/>
    </mc:Choice>
  </mc:AlternateContent>
  <bookViews>
    <workbookView xWindow="2760" yWindow="1245" windowWidth="21600" windowHeight="12750" activeTab="1"/>
  </bookViews>
  <sheets>
    <sheet name="Notes" sheetId="4" r:id="rId1"/>
    <sheet name="2015" sheetId="1" r:id="rId2"/>
    <sheet name="2016" sheetId="3" r:id="rId3"/>
    <sheet name="2017" sheetId="6" r:id="rId4"/>
    <sheet name="2018" sheetId="2" r:id="rId5"/>
  </sheets>
  <definedNames>
    <definedName name="_xlnm.Print_Area" localSheetId="1">'2015'!$A$1:$P$37</definedName>
    <definedName name="_xlnm.Print_Area" localSheetId="3">'2017'!$A$1:$R$37</definedName>
  </definedNames>
  <calcPr calcId="152511"/>
</workbook>
</file>

<file path=xl/calcChain.xml><?xml version="1.0" encoding="utf-8"?>
<calcChain xmlns="http://schemas.openxmlformats.org/spreadsheetml/2006/main">
  <c r="M23" i="2" l="1"/>
  <c r="L37" i="6" l="1"/>
  <c r="L23" i="6"/>
  <c r="L20" i="6"/>
  <c r="L19" i="6"/>
  <c r="L18" i="6"/>
  <c r="M13" i="6"/>
  <c r="M9" i="6"/>
  <c r="M8" i="6"/>
  <c r="L26" i="6"/>
  <c r="M35" i="6"/>
  <c r="M33" i="6"/>
  <c r="M26" i="6"/>
  <c r="L37" i="3"/>
  <c r="M37" i="3"/>
  <c r="L23" i="3"/>
  <c r="L20" i="3"/>
  <c r="L19" i="3"/>
  <c r="L18" i="3"/>
  <c r="M13" i="3"/>
  <c r="M9" i="3"/>
  <c r="M8" i="3"/>
  <c r="L26" i="3"/>
  <c r="M35" i="3"/>
  <c r="M33" i="3"/>
  <c r="M26" i="3"/>
  <c r="M37" i="1"/>
  <c r="L37" i="1"/>
  <c r="L23" i="1"/>
  <c r="L20" i="1"/>
  <c r="L19" i="1"/>
  <c r="L18" i="1"/>
  <c r="M13" i="1"/>
  <c r="M9" i="1"/>
  <c r="M8" i="1"/>
  <c r="L26" i="1"/>
  <c r="M35" i="1"/>
  <c r="M33" i="1"/>
  <c r="M26" i="1"/>
  <c r="N38" i="2" l="1"/>
  <c r="N29" i="2" l="1"/>
  <c r="M29" i="2"/>
  <c r="M26" i="2"/>
  <c r="M22" i="2"/>
  <c r="M21" i="2"/>
  <c r="N18" i="2"/>
  <c r="N16" i="2"/>
  <c r="N15" i="2"/>
  <c r="N12" i="2"/>
  <c r="N11" i="2"/>
  <c r="M19" i="2"/>
  <c r="L24" i="6"/>
  <c r="M15" i="6"/>
  <c r="M12" i="6"/>
  <c r="M15" i="3"/>
  <c r="M15" i="1" l="1"/>
  <c r="M27" i="2" l="1"/>
  <c r="M40" i="2" s="1"/>
  <c r="L24" i="3"/>
  <c r="L24" i="1" l="1"/>
  <c r="N27" i="2" l="1"/>
  <c r="N19" i="2"/>
  <c r="N40" i="2" s="1"/>
  <c r="M16" i="6"/>
  <c r="M37" i="6" s="1"/>
  <c r="M16" i="3"/>
  <c r="M16" i="1"/>
</calcChain>
</file>

<file path=xl/sharedStrings.xml><?xml version="1.0" encoding="utf-8"?>
<sst xmlns="http://schemas.openxmlformats.org/spreadsheetml/2006/main" count="237" uniqueCount="66">
  <si>
    <t>Quality</t>
  </si>
  <si>
    <t>HMO</t>
  </si>
  <si>
    <t>PPO</t>
  </si>
  <si>
    <t>Both</t>
  </si>
  <si>
    <t>CIGNA</t>
  </si>
  <si>
    <t>Aetna</t>
  </si>
  <si>
    <t>Other Commercial</t>
  </si>
  <si>
    <t>Total Commercial</t>
  </si>
  <si>
    <t>Network Health</t>
  </si>
  <si>
    <t>Total Managed Medicaid</t>
  </si>
  <si>
    <t>Tufts Medicare Preferred</t>
  </si>
  <si>
    <t>Blue Cross Senior Options</t>
  </si>
  <si>
    <t>Other Comm Medicare</t>
  </si>
  <si>
    <t>Commercial Medicare  Subtotal</t>
  </si>
  <si>
    <t>Medicare</t>
  </si>
  <si>
    <t>GRAND TOTAL</t>
  </si>
  <si>
    <t xml:space="preserve">NOTES: </t>
  </si>
  <si>
    <t>Claims-Based Revenue</t>
  </si>
  <si>
    <t>Budget Surplus/</t>
  </si>
  <si>
    <t>(Deficit) Revenue</t>
  </si>
  <si>
    <t>P4P Contracts</t>
  </si>
  <si>
    <t>Risk Contracts</t>
  </si>
  <si>
    <t>FFS Arrangements</t>
  </si>
  <si>
    <t>Incentive-Based Revenue</t>
  </si>
  <si>
    <t>Incentive</t>
  </si>
  <si>
    <t>Revenue</t>
  </si>
  <si>
    <t>Health New England</t>
  </si>
  <si>
    <t>Neighborhood Health Plan</t>
  </si>
  <si>
    <t>BMC HealthNet, Inc.</t>
  </si>
  <si>
    <t>Fallon Community Health Plan</t>
  </si>
  <si>
    <t>Other Managed Medicaid</t>
  </si>
  <si>
    <t>MassHealth</t>
  </si>
  <si>
    <t>Other</t>
  </si>
  <si>
    <t>Exhibit 1 AGO Questions to Providers</t>
  </si>
  <si>
    <t>2.  Please include POS payments under HMO.</t>
  </si>
  <si>
    <t>3.  Please include Indemnity payments under PPO.</t>
  </si>
  <si>
    <t>Other Revenue</t>
  </si>
  <si>
    <t>Tufts Health Plan</t>
  </si>
  <si>
    <t>Blue Cross Blue Shield</t>
  </si>
  <si>
    <t>Harvard Pilgrim Health Care</t>
  </si>
  <si>
    <t>United Healthcare</t>
  </si>
  <si>
    <r>
      <t xml:space="preserve">1.  Data entered in worksheets is </t>
    </r>
    <r>
      <rPr>
        <b/>
        <sz val="10"/>
        <color rgb="FF000000"/>
        <rFont val="Times New Roman"/>
        <family val="1"/>
      </rPr>
      <t>hypothetical</t>
    </r>
    <r>
      <rPr>
        <sz val="10"/>
        <color rgb="FF000000"/>
        <rFont val="Times New Roman"/>
        <family val="1"/>
      </rPr>
      <t xml:space="preserve"> and solely for illustrative purposes,  provided as a guide to completing this spreadsheet.  Respondent may provide explanatory notes and additional information at its discretion.</t>
    </r>
  </si>
  <si>
    <r>
      <t xml:space="preserve">4.  </t>
    </r>
    <r>
      <rPr>
        <b/>
        <sz val="10"/>
        <color rgb="FF000000"/>
        <rFont val="Times New Roman"/>
        <family val="1"/>
      </rPr>
      <t>P4P Contracts</t>
    </r>
    <r>
      <rPr>
        <sz val="10"/>
        <color rgb="FF000000"/>
        <rFont val="Times New Roman"/>
        <family val="1"/>
      </rPr>
      <t xml:space="preserve"> are pay for performance arrangements with a public or commercial payer that reimburse providers for achieving certain quality or efficiency benchmarks.  For purposes of this excel, P4P Contracts do not include Risk Contracts.</t>
    </r>
  </si>
  <si>
    <r>
      <t xml:space="preserve">5.  </t>
    </r>
    <r>
      <rPr>
        <b/>
        <sz val="10"/>
        <color rgb="FF000000"/>
        <rFont val="Times New Roman"/>
        <family val="1"/>
      </rPr>
      <t>Risk Contracts</t>
    </r>
    <r>
      <rPr>
        <sz val="10"/>
        <color rgb="FF000000"/>
        <rFont val="Times New Roman"/>
        <family val="1"/>
      </rPr>
      <t xml:space="preserve"> are contracts with a public or commercial payer for payment for health care services that incorporate a per member per month budget against which claims costs are settled for purposes of determining the withhold returned, surplus paid, and/or deficit charged to you, including contracts that subject you to very limited or minimal "downside" risk.  </t>
    </r>
  </si>
  <si>
    <r>
      <t xml:space="preserve">6.  </t>
    </r>
    <r>
      <rPr>
        <b/>
        <sz val="10"/>
        <color rgb="FF000000"/>
        <rFont val="Times New Roman"/>
        <family val="1"/>
      </rPr>
      <t>FFS Arrangements</t>
    </r>
    <r>
      <rPr>
        <sz val="10"/>
        <color rgb="FF000000"/>
        <rFont val="Times New Roman"/>
        <family val="1"/>
      </rPr>
      <t xml:space="preserve"> are those where a payer pays a provider for each service rendered, based on an agreed upon price for each service.  For purposes of this excel, FFS Arrangements do not include payments under P4P Contracts or Risk Contracts.</t>
    </r>
  </si>
  <si>
    <r>
      <t xml:space="preserve">7.  </t>
    </r>
    <r>
      <rPr>
        <b/>
        <sz val="10"/>
        <color rgb="FF000000"/>
        <rFont val="Times New Roman"/>
        <family val="1"/>
      </rPr>
      <t xml:space="preserve">Other Revenue </t>
    </r>
    <r>
      <rPr>
        <sz val="10"/>
        <color rgb="FF000000"/>
        <rFont val="Times New Roman"/>
        <family val="1"/>
      </rPr>
      <t xml:space="preserve">is revenue under P4P Contracts, Risk Contracts, or FFS Arrangements other than those categories already identified, such as management fees and supplemental fees (and other non-claims based, non-incentive, non-surplus/deficit, non-quality bonus revenue). </t>
    </r>
  </si>
  <si>
    <r>
      <t xml:space="preserve">8.  </t>
    </r>
    <r>
      <rPr>
        <b/>
        <sz val="10"/>
        <color theme="1"/>
        <rFont val="Times New Roman"/>
        <family val="1"/>
      </rPr>
      <t>Claims-Based Revenue</t>
    </r>
    <r>
      <rPr>
        <sz val="10"/>
        <color theme="1"/>
        <rFont val="Times New Roman"/>
        <family val="1"/>
      </rPr>
      <t xml:space="preserve"> is the total revenue that a provider received from a public or commercial payer under a P4P Contract or a Risk Contract for each service rendered, based on an agreed upon price for each service before any retraction for risk settlement is made.</t>
    </r>
  </si>
  <si>
    <r>
      <t xml:space="preserve">9.  </t>
    </r>
    <r>
      <rPr>
        <b/>
        <sz val="10"/>
        <color theme="1"/>
        <rFont val="Times New Roman"/>
        <family val="1"/>
      </rPr>
      <t>Incentive-Based Revenue</t>
    </r>
    <r>
      <rPr>
        <sz val="10"/>
        <color theme="1"/>
        <rFont val="Times New Roman"/>
        <family val="1"/>
      </rPr>
      <t xml:space="preserve"> is the total revenue a provider received under a P4P Contract that is related to quality or efficiency targets or benchmarks established by a public or commercial payer.</t>
    </r>
  </si>
  <si>
    <r>
      <t xml:space="preserve">10.  </t>
    </r>
    <r>
      <rPr>
        <b/>
        <sz val="10"/>
        <color theme="1"/>
        <rFont val="Times New Roman"/>
        <family val="1"/>
      </rPr>
      <t>Budget Surplus/(Deficit) Revenue</t>
    </r>
    <r>
      <rPr>
        <sz val="10"/>
        <color theme="1"/>
        <rFont val="Times New Roman"/>
        <family val="1"/>
      </rPr>
      <t xml:space="preserve"> is the total revenue a provider received or was retracted upon settlement of the efficiency-related budgets or benchmarks established in a Risk Contract.</t>
    </r>
  </si>
  <si>
    <r>
      <t xml:space="preserve">11.  </t>
    </r>
    <r>
      <rPr>
        <b/>
        <sz val="10"/>
        <color theme="1"/>
        <rFont val="Times New Roman"/>
        <family val="1"/>
      </rPr>
      <t>Quality Incentive Revenue</t>
    </r>
    <r>
      <rPr>
        <sz val="10"/>
        <color theme="1"/>
        <rFont val="Times New Roman"/>
        <family val="1"/>
      </rPr>
      <t xml:space="preserve"> is the total revenue that a provider received from a public or commercial payer under a Risk Contract for quality-related targets or benchmarks established by a public or commercial payer.</t>
    </r>
  </si>
  <si>
    <t>AGO Provider Exhibit 1</t>
  </si>
  <si>
    <t>Budget Surplus/ (Deficit) Revenue</t>
  </si>
  <si>
    <t>Quality Incentive Revenue</t>
  </si>
  <si>
    <t xml:space="preserve">*PCP management </t>
  </si>
  <si>
    <t>9027.89*</t>
  </si>
  <si>
    <t>6855.09*</t>
  </si>
  <si>
    <t>*PCP management</t>
  </si>
  <si>
    <t>2317.00*</t>
  </si>
  <si>
    <t>909.96*</t>
  </si>
  <si>
    <t>483.15*</t>
  </si>
  <si>
    <t>7.82*</t>
  </si>
  <si>
    <t>7910*</t>
  </si>
  <si>
    <t>2391.99*</t>
  </si>
  <si>
    <t>2150*</t>
  </si>
  <si>
    <t>642*</t>
  </si>
  <si>
    <t>1456*</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</si>
</sst>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11"/>
      <color rgb="FF000000"/>
      <name val="Calibri"/>
      <family val="2"/>
      <scheme val="minor"/>
    </font>
    <font>
      <sz val="11"/>
      <color theme="1"/>
      <name val="Times New Roman"/>
      <family val="1"/>
    </font>
    <font>
      <sz val="12"/>
      <color theme="1"/>
      <name val="Times New Roman"/>
      <family val="1"/>
    </font>
    <font>
      <b/>
      <sz val="10"/>
      <color theme="0"/>
      <name val="Times New Roman"/>
      <family val="1"/>
    </font>
    <font>
      <sz val="11"/>
      <color theme="0"/>
      <name val="Times New Roman"/>
      <family val="1"/>
    </font>
    <font>
      <sz val="10"/>
      <color theme="0"/>
      <name val="Times New Roman"/>
      <family val="1"/>
    </font>
    <font>
      <sz val="10"/>
      <color theme="1"/>
      <name val="Times New Roman"/>
      <family val="1"/>
    </font>
    <font>
      <sz val="10"/>
      <name val="Times New Roman"/>
      <family val="1"/>
    </font>
    <font>
      <b/>
      <i/>
      <sz val="10"/>
      <color theme="1"/>
      <name val="Times New Roman"/>
      <family val="1"/>
    </font>
    <font>
      <b/>
      <sz val="12"/>
      <color theme="1"/>
      <name val="Times New Roman"/>
      <family val="1"/>
    </font>
    <font>
      <b/>
      <sz val="10"/>
      <color theme="1"/>
      <name val="Times New Roman"/>
      <family val="1"/>
    </font>
    <font>
      <b/>
      <sz val="10"/>
      <color rgb="FFFF0000"/>
      <name val="Times New Roman"/>
      <family val="1"/>
    </font>
    <font>
      <sz val="10"/>
      <color rgb="FF000000"/>
      <name val="Times New Roman"/>
      <family val="1"/>
    </font>
    <font>
      <b/>
      <sz val="10"/>
      <color rgb="FF000000"/>
      <name val="Times New Roman"/>
      <family val="1"/>
    </font>
    <font>
      <i/>
      <sz val="10"/>
      <color theme="1"/>
      <name val="Times New Roman"/>
      <family val="1"/>
    </font>
    <font>
      <b/>
      <sz val="11"/>
      <color theme="1"/>
      <name val="Times New Roman"/>
      <family val="1"/>
    </font>
    <font>
      <b/>
      <sz val="15"/>
      <color theme="1"/>
      <name val="Times New Roman"/>
      <family val="1"/>
    </font>
    <font>
      <b/>
      <sz val="11"/>
      <color theme="0"/>
      <name val="Times New Roman"/>
      <family val="1"/>
    </font>
    <font>
      <sz val="11"/>
      <name val="Times New Roman"/>
      <family val="1"/>
    </font>
    <font>
      <b/>
      <i/>
      <sz val="11"/>
      <color theme="1"/>
      <name val="Times New Roman"/>
      <family val="1"/>
    </font>
    <font>
      <i/>
      <sz val="11"/>
      <color theme="1"/>
      <name val="Times New Roman"/>
      <family val="1"/>
    </font>
  </fonts>
  <fills count="8">
    <fill>
      <patternFill patternType="none"/>
    </fill>
    <fill>
      <patternFill patternType="gray125"/>
    </fill>
    <fill>
      <patternFill patternType="solid">
        <fgColor theme="0" tint="-0.499984740745262"/>
        <bgColor indexed="64"/>
      </patternFill>
    </fill>
    <fill>
      <patternFill patternType="solid">
        <fgColor theme="3"/>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8"/>
        <bgColor indexed="64"/>
      </patternFill>
    </fill>
    <fill>
      <patternFill patternType="solid">
        <fgColor theme="0"/>
        <bgColor indexed="64"/>
      </patternFill>
    </fill>
  </fills>
  <borders count="3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cellStyleXfs>
  <cellXfs count="114">
    <xf numFmtId="0" fontId="0" fillId="0" borderId="0" xfId="0"/>
    <xf numFmtId="0" fontId="2" fillId="0" borderId="0" xfId="0" applyFont="1"/>
    <xf numFmtId="0" fontId="3" fillId="0" borderId="3" xfId="0" applyFont="1" applyBorder="1" applyAlignment="1">
      <alignment horizontal="center" vertical="center" wrapText="1"/>
    </xf>
    <xf numFmtId="0" fontId="7" fillId="0" borderId="3" xfId="0" applyFont="1" applyBorder="1" applyAlignment="1">
      <alignment horizontal="left" vertical="center" wrapText="1"/>
    </xf>
    <xf numFmtId="0" fontId="9" fillId="0" borderId="3" xfId="0" applyFont="1" applyBorder="1" applyAlignment="1">
      <alignment horizontal="left" vertical="center" wrapText="1"/>
    </xf>
    <xf numFmtId="0" fontId="2" fillId="0" borderId="0" xfId="0" applyFont="1" applyAlignment="1">
      <alignment horizontal="center"/>
    </xf>
    <xf numFmtId="0" fontId="7" fillId="2" borderId="3"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1" fillId="0" borderId="3" xfId="0" applyFont="1" applyBorder="1" applyAlignment="1">
      <alignment horizontal="left" vertical="center" wrapText="1"/>
    </xf>
    <xf numFmtId="0" fontId="7" fillId="4" borderId="12"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7" fillId="7" borderId="0" xfId="0" applyFont="1" applyFill="1"/>
    <xf numFmtId="0" fontId="0" fillId="7" borderId="0" xfId="0" applyFill="1"/>
    <xf numFmtId="0" fontId="12" fillId="7" borderId="0" xfId="0" applyFont="1" applyFill="1"/>
    <xf numFmtId="0" fontId="1" fillId="7" borderId="0" xfId="0" applyFont="1" applyFill="1" applyAlignment="1">
      <alignment wrapText="1"/>
    </xf>
    <xf numFmtId="0" fontId="0" fillId="7" borderId="0" xfId="0" applyFill="1" applyAlignment="1">
      <alignment wrapText="1"/>
    </xf>
    <xf numFmtId="0" fontId="13" fillId="7" borderId="0" xfId="0" applyFont="1" applyFill="1" applyAlignment="1">
      <alignment wrapText="1"/>
    </xf>
    <xf numFmtId="0" fontId="7" fillId="7" borderId="0" xfId="0" applyFont="1" applyFill="1" applyAlignment="1">
      <alignment wrapText="1"/>
    </xf>
    <xf numFmtId="0" fontId="11" fillId="7" borderId="13" xfId="0" applyFont="1" applyFill="1" applyBorder="1" applyAlignment="1">
      <alignment vertical="center"/>
    </xf>
    <xf numFmtId="0" fontId="17" fillId="0" borderId="0" xfId="0" applyFont="1"/>
    <xf numFmtId="0" fontId="2" fillId="4" borderId="30" xfId="0" applyFont="1" applyFill="1" applyBorder="1" applyAlignment="1">
      <alignment horizontal="center" vertical="center" wrapText="1"/>
    </xf>
    <xf numFmtId="0" fontId="2" fillId="5" borderId="30" xfId="0" applyFont="1" applyFill="1" applyBorder="1" applyAlignment="1">
      <alignment horizontal="center" vertical="center" wrapText="1"/>
    </xf>
    <xf numFmtId="0" fontId="2" fillId="0" borderId="31" xfId="0" applyFont="1" applyBorder="1" applyAlignment="1">
      <alignment horizontal="left" vertical="center" wrapText="1"/>
    </xf>
    <xf numFmtId="0" fontId="20" fillId="0" borderId="31" xfId="0" applyFont="1" applyBorder="1" applyAlignment="1">
      <alignment horizontal="left" vertical="center" wrapText="1"/>
    </xf>
    <xf numFmtId="0" fontId="2" fillId="2" borderId="31" xfId="0" applyFont="1" applyFill="1" applyBorder="1" applyAlignment="1">
      <alignment horizontal="left" vertical="center" wrapText="1"/>
    </xf>
    <xf numFmtId="0" fontId="21" fillId="2" borderId="31" xfId="0" applyFont="1" applyFill="1" applyBorder="1" applyAlignment="1">
      <alignment horizontal="left" vertical="center" wrapText="1"/>
    </xf>
    <xf numFmtId="0" fontId="16" fillId="0" borderId="32" xfId="0" applyFont="1" applyBorder="1" applyAlignment="1">
      <alignment horizontal="left" vertical="center" wrapText="1"/>
    </xf>
    <xf numFmtId="0" fontId="2" fillId="0" borderId="34" xfId="0" applyFont="1" applyBorder="1" applyAlignment="1">
      <alignment horizontal="left" vertical="center" wrapText="1"/>
    </xf>
    <xf numFmtId="0" fontId="2" fillId="4" borderId="24" xfId="0" applyFont="1" applyFill="1" applyBorder="1" applyAlignment="1">
      <alignment horizontal="center" vertical="center" wrapText="1"/>
    </xf>
    <xf numFmtId="0" fontId="2" fillId="5" borderId="26" xfId="0" applyFont="1" applyFill="1" applyBorder="1" applyAlignment="1">
      <alignment horizontal="center" vertical="center" wrapText="1"/>
    </xf>
    <xf numFmtId="0" fontId="2" fillId="4" borderId="27" xfId="0" applyFont="1" applyFill="1" applyBorder="1" applyAlignment="1">
      <alignment horizontal="center" vertical="center" wrapText="1"/>
    </xf>
    <xf numFmtId="0" fontId="5" fillId="6" borderId="25" xfId="0" applyFont="1" applyFill="1" applyBorder="1" applyAlignment="1">
      <alignment horizontal="center" vertical="center" wrapText="1"/>
    </xf>
    <xf numFmtId="0" fontId="2" fillId="5" borderId="35" xfId="0" applyFont="1" applyFill="1" applyBorder="1" applyAlignment="1">
      <alignment horizontal="center" vertical="center" wrapText="1"/>
    </xf>
    <xf numFmtId="4" fontId="7" fillId="0" borderId="8" xfId="0" applyNumberFormat="1" applyFont="1" applyBorder="1" applyAlignment="1">
      <alignment horizontal="center" vertical="center" wrapText="1"/>
    </xf>
    <xf numFmtId="4" fontId="8" fillId="0" borderId="8" xfId="0" applyNumberFormat="1" applyFont="1" applyBorder="1" applyAlignment="1">
      <alignment horizontal="center" vertical="center" wrapText="1"/>
    </xf>
    <xf numFmtId="4" fontId="7" fillId="0" borderId="12" xfId="0" applyNumberFormat="1" applyFont="1" applyBorder="1" applyAlignment="1">
      <alignment horizontal="center" vertical="center" wrapText="1"/>
    </xf>
    <xf numFmtId="4" fontId="7" fillId="2" borderId="12" xfId="0" applyNumberFormat="1" applyFont="1" applyFill="1" applyBorder="1" applyAlignment="1">
      <alignment horizontal="center" vertical="center" wrapText="1"/>
    </xf>
    <xf numFmtId="4" fontId="8" fillId="0" borderId="12" xfId="0" applyNumberFormat="1" applyFont="1" applyBorder="1" applyAlignment="1">
      <alignment horizontal="center" vertical="center" wrapText="1"/>
    </xf>
    <xf numFmtId="4" fontId="2" fillId="0" borderId="15" xfId="0" applyNumberFormat="1" applyFont="1" applyBorder="1" applyAlignment="1">
      <alignment horizontal="center" vertical="center" wrapText="1"/>
    </xf>
    <xf numFmtId="4" fontId="2" fillId="0" borderId="16" xfId="0" applyNumberFormat="1" applyFont="1" applyBorder="1" applyAlignment="1">
      <alignment horizontal="center" vertical="center" wrapText="1"/>
    </xf>
    <xf numFmtId="4" fontId="2" fillId="0" borderId="17" xfId="0" applyNumberFormat="1" applyFont="1" applyBorder="1" applyAlignment="1">
      <alignment horizontal="center" vertical="center" wrapText="1"/>
    </xf>
    <xf numFmtId="4" fontId="2" fillId="0" borderId="23" xfId="0" applyNumberFormat="1" applyFont="1" applyBorder="1" applyAlignment="1">
      <alignment horizontal="center" vertical="center" wrapText="1"/>
    </xf>
    <xf numFmtId="4" fontId="2" fillId="0" borderId="33" xfId="0" applyNumberFormat="1" applyFont="1" applyBorder="1" applyAlignment="1">
      <alignment horizontal="center" vertical="center" wrapText="1"/>
    </xf>
    <xf numFmtId="4" fontId="19" fillId="0" borderId="16" xfId="0" applyNumberFormat="1" applyFont="1" applyBorder="1" applyAlignment="1">
      <alignment horizontal="center" vertical="center" wrapText="1"/>
    </xf>
    <xf numFmtId="4" fontId="2" fillId="0" borderId="18" xfId="0" applyNumberFormat="1" applyFont="1" applyBorder="1" applyAlignment="1">
      <alignment horizontal="center" vertical="center" wrapText="1"/>
    </xf>
    <xf numFmtId="4" fontId="2" fillId="0" borderId="14" xfId="0" applyNumberFormat="1" applyFont="1" applyBorder="1" applyAlignment="1">
      <alignment horizontal="center" vertical="center" wrapText="1"/>
    </xf>
    <xf numFmtId="4" fontId="2" fillId="0" borderId="19" xfId="0" applyNumberFormat="1" applyFont="1" applyBorder="1" applyAlignment="1">
      <alignment horizontal="center" vertical="center" wrapText="1"/>
    </xf>
    <xf numFmtId="4" fontId="2" fillId="0" borderId="28" xfId="0" applyNumberFormat="1" applyFont="1" applyBorder="1" applyAlignment="1">
      <alignment horizontal="center" vertical="center" wrapText="1"/>
    </xf>
    <xf numFmtId="4" fontId="2" fillId="2" borderId="18" xfId="0" applyNumberFormat="1" applyFont="1" applyFill="1" applyBorder="1" applyAlignment="1">
      <alignment horizontal="center" vertical="center" wrapText="1"/>
    </xf>
    <xf numFmtId="4" fontId="2" fillId="2" borderId="14" xfId="0" applyNumberFormat="1" applyFont="1" applyFill="1" applyBorder="1" applyAlignment="1">
      <alignment horizontal="center" vertical="center" wrapText="1"/>
    </xf>
    <xf numFmtId="4" fontId="2" fillId="2" borderId="19" xfId="0" applyNumberFormat="1" applyFont="1" applyFill="1" applyBorder="1" applyAlignment="1">
      <alignment horizontal="center" vertical="center" wrapText="1"/>
    </xf>
    <xf numFmtId="4" fontId="2" fillId="2" borderId="28" xfId="0" applyNumberFormat="1" applyFont="1" applyFill="1" applyBorder="1" applyAlignment="1">
      <alignment horizontal="center" vertical="center" wrapText="1"/>
    </xf>
    <xf numFmtId="4" fontId="2" fillId="0" borderId="18" xfId="0" applyNumberFormat="1" applyFont="1" applyFill="1" applyBorder="1" applyAlignment="1">
      <alignment horizontal="center" vertical="center" wrapText="1"/>
    </xf>
    <xf numFmtId="4" fontId="2" fillId="0" borderId="14" xfId="0" applyNumberFormat="1" applyFont="1" applyFill="1" applyBorder="1" applyAlignment="1">
      <alignment horizontal="center" vertical="center" wrapText="1"/>
    </xf>
    <xf numFmtId="4" fontId="2" fillId="0" borderId="19" xfId="0" applyNumberFormat="1" applyFont="1" applyFill="1" applyBorder="1" applyAlignment="1">
      <alignment horizontal="center" vertical="center" wrapText="1"/>
    </xf>
    <xf numFmtId="4" fontId="2" fillId="0" borderId="28" xfId="0" applyNumberFormat="1" applyFont="1" applyFill="1" applyBorder="1" applyAlignment="1">
      <alignment horizontal="center" vertical="center" wrapText="1"/>
    </xf>
    <xf numFmtId="4" fontId="2" fillId="0" borderId="20" xfId="0" applyNumberFormat="1" applyFont="1" applyBorder="1" applyAlignment="1">
      <alignment horizontal="center" vertical="center" wrapText="1"/>
    </xf>
    <xf numFmtId="4" fontId="2" fillId="0" borderId="21" xfId="0" applyNumberFormat="1" applyFont="1" applyBorder="1" applyAlignment="1">
      <alignment horizontal="center" vertical="center" wrapText="1"/>
    </xf>
    <xf numFmtId="4" fontId="2" fillId="0" borderId="22" xfId="0" applyNumberFormat="1" applyFont="1" applyBorder="1" applyAlignment="1">
      <alignment horizontal="center" vertical="center" wrapText="1"/>
    </xf>
    <xf numFmtId="4" fontId="2" fillId="0" borderId="29" xfId="0" applyNumberFormat="1" applyFont="1" applyBorder="1" applyAlignment="1">
      <alignment horizontal="center" vertical="center" wrapText="1"/>
    </xf>
    <xf numFmtId="4" fontId="7" fillId="0" borderId="12" xfId="0" applyNumberFormat="1"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5" fillId="3" borderId="10" xfId="0" applyFont="1" applyFill="1" applyBorder="1" applyAlignment="1">
      <alignment vertical="top" wrapText="1"/>
    </xf>
    <xf numFmtId="0" fontId="5" fillId="3" borderId="6" xfId="0" applyFont="1" applyFill="1" applyBorder="1" applyAlignment="1">
      <alignment vertical="top" wrapText="1"/>
    </xf>
    <xf numFmtId="0" fontId="5" fillId="3" borderId="11" xfId="0" applyFont="1" applyFill="1" applyBorder="1" applyAlignment="1">
      <alignment vertical="top" wrapText="1"/>
    </xf>
    <xf numFmtId="0" fontId="5" fillId="3" borderId="8" xfId="0" applyFont="1" applyFill="1" applyBorder="1" applyAlignment="1">
      <alignment vertical="top" wrapText="1"/>
    </xf>
    <xf numFmtId="0" fontId="4" fillId="3" borderId="9" xfId="0" applyFont="1" applyFill="1" applyBorder="1" applyAlignment="1">
      <alignment horizontal="center" vertical="center" wrapText="1"/>
    </xf>
    <xf numFmtId="0" fontId="5" fillId="3" borderId="5" xfId="0" applyFont="1" applyFill="1" applyBorder="1" applyAlignment="1">
      <alignment vertical="center" wrapText="1"/>
    </xf>
    <xf numFmtId="0" fontId="5" fillId="3" borderId="10" xfId="0" applyFont="1" applyFill="1" applyBorder="1" applyAlignment="1">
      <alignment vertical="center" wrapText="1"/>
    </xf>
    <xf numFmtId="0" fontId="5" fillId="3" borderId="6" xfId="0" applyFont="1" applyFill="1" applyBorder="1" applyAlignment="1">
      <alignment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5" fillId="3" borderId="0" xfId="0" applyFont="1" applyFill="1" applyBorder="1" applyAlignment="1">
      <alignment vertical="top" wrapText="1"/>
    </xf>
    <xf numFmtId="0" fontId="5" fillId="3" borderId="0" xfId="0" applyFont="1" applyFill="1" applyAlignment="1">
      <alignment vertical="top" wrapText="1"/>
    </xf>
    <xf numFmtId="0" fontId="5" fillId="3" borderId="7" xfId="0" applyFont="1" applyFill="1" applyBorder="1" applyAlignment="1">
      <alignment vertical="top"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6" fillId="3" borderId="10"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5" fillId="3" borderId="11" xfId="0" applyFont="1" applyFill="1" applyBorder="1" applyAlignment="1">
      <alignment vertical="center" wrapText="1"/>
    </xf>
    <xf numFmtId="0" fontId="5" fillId="3" borderId="8" xfId="0" applyFont="1" applyFill="1" applyBorder="1" applyAlignment="1">
      <alignment vertical="center" wrapText="1"/>
    </xf>
    <xf numFmtId="0" fontId="5" fillId="3" borderId="7" xfId="0" applyFont="1" applyFill="1" applyBorder="1" applyAlignment="1">
      <alignment vertical="center" wrapText="1"/>
    </xf>
    <xf numFmtId="0" fontId="5" fillId="3" borderId="0" xfId="0" applyFont="1" applyFill="1" applyBorder="1" applyAlignment="1">
      <alignment vertical="center" wrapText="1"/>
    </xf>
    <xf numFmtId="0" fontId="5" fillId="3" borderId="0" xfId="0" applyFont="1" applyFill="1" applyAlignment="1">
      <alignment vertical="center" wrapText="1"/>
    </xf>
    <xf numFmtId="0" fontId="18" fillId="3" borderId="9"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1"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5" fillId="3" borderId="9"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zoomScale="110" zoomScaleNormal="110" workbookViewId="0">
      <selection activeCell="A11" sqref="A11"/>
    </sheetView>
  </sheetViews>
  <sheetFormatPr defaultColWidth="8.7109375" defaultRowHeight="15" x14ac:dyDescent="0.25"/>
  <cols>
    <col min="1" max="1" width="79.42578125" style="13" customWidth="1"/>
    <col min="2" max="16384" width="8.7109375" style="13"/>
  </cols>
  <sheetData>
    <row r="1" spans="1:10" ht="30.75" customHeight="1" x14ac:dyDescent="0.25">
      <c r="A1" s="19" t="s">
        <v>33</v>
      </c>
      <c r="B1" s="12"/>
      <c r="C1" s="12"/>
      <c r="D1" s="12"/>
      <c r="E1" s="12"/>
      <c r="F1" s="12"/>
      <c r="G1" s="12"/>
      <c r="H1" s="12"/>
      <c r="I1" s="12"/>
    </row>
    <row r="2" spans="1:10" x14ac:dyDescent="0.25">
      <c r="A2" s="14" t="s">
        <v>16</v>
      </c>
      <c r="B2" s="12"/>
      <c r="C2" s="12"/>
      <c r="D2" s="12"/>
      <c r="E2" s="12"/>
      <c r="F2" s="12"/>
      <c r="G2" s="12"/>
      <c r="H2" s="12"/>
      <c r="I2" s="12"/>
    </row>
    <row r="3" spans="1:10" s="16" customFormat="1" ht="41.45" customHeight="1" x14ac:dyDescent="0.25">
      <c r="A3" s="17" t="s">
        <v>41</v>
      </c>
      <c r="B3" s="17"/>
      <c r="C3" s="17"/>
      <c r="D3" s="17"/>
      <c r="E3" s="17"/>
      <c r="F3" s="17"/>
      <c r="G3" s="17"/>
      <c r="H3" s="17"/>
      <c r="I3" s="17"/>
      <c r="J3" s="15"/>
    </row>
    <row r="4" spans="1:10" s="16" customFormat="1" ht="14.45" customHeight="1" x14ac:dyDescent="0.25">
      <c r="A4" s="17" t="s">
        <v>34</v>
      </c>
      <c r="B4" s="17"/>
      <c r="C4" s="17"/>
      <c r="D4" s="17"/>
      <c r="E4" s="17"/>
      <c r="F4" s="17"/>
      <c r="G4" s="17"/>
      <c r="H4" s="17"/>
      <c r="I4" s="17"/>
    </row>
    <row r="5" spans="1:10" s="16" customFormat="1" ht="14.45" customHeight="1" x14ac:dyDescent="0.25">
      <c r="A5" s="17" t="s">
        <v>35</v>
      </c>
      <c r="B5" s="17"/>
      <c r="C5" s="17"/>
      <c r="D5" s="17"/>
      <c r="E5" s="17"/>
      <c r="F5" s="17"/>
      <c r="G5" s="17"/>
      <c r="H5" s="17"/>
      <c r="I5" s="17"/>
    </row>
    <row r="6" spans="1:10" s="16" customFormat="1" ht="39" customHeight="1" x14ac:dyDescent="0.25">
      <c r="A6" s="17" t="s">
        <v>42</v>
      </c>
      <c r="B6" s="17"/>
      <c r="C6" s="17"/>
      <c r="D6" s="17"/>
      <c r="E6" s="17"/>
      <c r="F6" s="17"/>
      <c r="G6" s="17"/>
      <c r="H6" s="17"/>
      <c r="I6" s="17"/>
    </row>
    <row r="7" spans="1:10" s="16" customFormat="1" ht="52.5" customHeight="1" x14ac:dyDescent="0.25">
      <c r="A7" s="17" t="s">
        <v>43</v>
      </c>
      <c r="B7" s="17"/>
      <c r="C7" s="17"/>
      <c r="D7" s="17"/>
      <c r="E7" s="17"/>
      <c r="F7" s="17"/>
      <c r="G7" s="17"/>
      <c r="H7" s="17"/>
      <c r="I7" s="17"/>
    </row>
    <row r="8" spans="1:10" s="16" customFormat="1" ht="41.1" customHeight="1" x14ac:dyDescent="0.25">
      <c r="A8" s="17" t="s">
        <v>44</v>
      </c>
      <c r="B8" s="17"/>
      <c r="C8" s="17"/>
      <c r="D8" s="17"/>
      <c r="E8" s="17"/>
      <c r="F8" s="17"/>
      <c r="G8" s="17"/>
      <c r="H8" s="17"/>
      <c r="I8" s="17"/>
    </row>
    <row r="9" spans="1:10" s="16" customFormat="1" ht="39.950000000000003" customHeight="1" x14ac:dyDescent="0.25">
      <c r="A9" s="17" t="s">
        <v>45</v>
      </c>
      <c r="B9" s="17"/>
      <c r="C9" s="17"/>
      <c r="D9" s="17"/>
      <c r="E9" s="17"/>
      <c r="F9" s="17"/>
      <c r="G9" s="17"/>
      <c r="H9" s="17"/>
      <c r="I9" s="17"/>
    </row>
    <row r="10" spans="1:10" s="16" customFormat="1" ht="41.1" customHeight="1" x14ac:dyDescent="0.25">
      <c r="A10" s="18" t="s">
        <v>46</v>
      </c>
      <c r="B10" s="18"/>
      <c r="C10" s="18"/>
      <c r="D10" s="18"/>
      <c r="E10" s="18"/>
      <c r="F10" s="18"/>
      <c r="G10" s="18"/>
      <c r="H10" s="18"/>
      <c r="I10" s="18"/>
    </row>
    <row r="11" spans="1:10" s="16" customFormat="1" ht="24.95" customHeight="1" x14ac:dyDescent="0.25">
      <c r="A11" s="18" t="s">
        <v>47</v>
      </c>
      <c r="B11" s="18"/>
      <c r="C11" s="18"/>
      <c r="D11" s="18"/>
      <c r="E11" s="18"/>
      <c r="F11" s="18"/>
      <c r="G11" s="18"/>
      <c r="H11" s="18"/>
      <c r="I11" s="18"/>
    </row>
    <row r="12" spans="1:10" s="16" customFormat="1" ht="28.5" customHeight="1" x14ac:dyDescent="0.25">
      <c r="A12" s="18" t="s">
        <v>48</v>
      </c>
      <c r="B12" s="18"/>
      <c r="C12" s="18"/>
      <c r="D12" s="18"/>
      <c r="E12" s="18"/>
      <c r="F12" s="18"/>
      <c r="G12" s="18"/>
      <c r="H12" s="18"/>
      <c r="I12" s="18"/>
    </row>
    <row r="13" spans="1:10" s="16" customFormat="1" ht="38.450000000000003" customHeight="1" x14ac:dyDescent="0.25">
      <c r="A13" s="18" t="s">
        <v>49</v>
      </c>
      <c r="B13" s="18"/>
      <c r="C13" s="18"/>
      <c r="D13" s="18"/>
      <c r="E13" s="18"/>
      <c r="F13" s="18"/>
      <c r="G13" s="18"/>
      <c r="H13" s="18"/>
      <c r="I13" s="18"/>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7"/>
  <sheetViews>
    <sheetView tabSelected="1" workbookViewId="0">
      <selection activeCell="Q22" sqref="Q22"/>
    </sheetView>
  </sheetViews>
  <sheetFormatPr defaultColWidth="26.5703125" defaultRowHeight="15" x14ac:dyDescent="0.25"/>
  <cols>
    <col min="1" max="1" width="26.5703125" style="1"/>
    <col min="2" max="11" width="9.140625" style="1" customWidth="1"/>
    <col min="12" max="12" width="11.7109375" style="1" customWidth="1"/>
    <col min="13" max="13" width="11.42578125" style="1" customWidth="1"/>
    <col min="14" max="16" width="9.140625" style="1" customWidth="1"/>
    <col min="17" max="16384" width="26.5703125" style="1"/>
  </cols>
  <sheetData>
    <row r="1" spans="1:17" x14ac:dyDescent="0.25">
      <c r="A1" s="82">
        <v>2015</v>
      </c>
      <c r="B1" s="70" t="s">
        <v>20</v>
      </c>
      <c r="C1" s="85"/>
      <c r="D1" s="85"/>
      <c r="E1" s="86"/>
      <c r="F1" s="70" t="s">
        <v>21</v>
      </c>
      <c r="G1" s="85"/>
      <c r="H1" s="85"/>
      <c r="I1" s="85"/>
      <c r="J1" s="85"/>
      <c r="K1" s="86"/>
      <c r="L1" s="70" t="s">
        <v>22</v>
      </c>
      <c r="M1" s="71"/>
      <c r="N1" s="70" t="s">
        <v>36</v>
      </c>
      <c r="O1" s="74"/>
      <c r="P1" s="75"/>
    </row>
    <row r="2" spans="1:17" x14ac:dyDescent="0.25">
      <c r="A2" s="83"/>
      <c r="B2" s="64"/>
      <c r="C2" s="87"/>
      <c r="D2" s="87"/>
      <c r="E2" s="65"/>
      <c r="F2" s="64"/>
      <c r="G2" s="87"/>
      <c r="H2" s="87"/>
      <c r="I2" s="87"/>
      <c r="J2" s="87"/>
      <c r="K2" s="65"/>
      <c r="L2" s="72"/>
      <c r="M2" s="73"/>
      <c r="N2" s="76"/>
      <c r="O2" s="77"/>
      <c r="P2" s="78"/>
    </row>
    <row r="3" spans="1:17" ht="15.75" thickBot="1" x14ac:dyDescent="0.3">
      <c r="A3" s="84"/>
      <c r="B3" s="88"/>
      <c r="C3" s="89"/>
      <c r="D3" s="89"/>
      <c r="E3" s="90"/>
      <c r="F3" s="88"/>
      <c r="G3" s="89"/>
      <c r="H3" s="89"/>
      <c r="I3" s="89"/>
      <c r="J3" s="89"/>
      <c r="K3" s="90"/>
      <c r="L3" s="72"/>
      <c r="M3" s="73"/>
      <c r="N3" s="76"/>
      <c r="O3" s="77"/>
      <c r="P3" s="78"/>
    </row>
    <row r="4" spans="1:17" x14ac:dyDescent="0.25">
      <c r="A4" s="91"/>
      <c r="B4" s="93" t="s">
        <v>17</v>
      </c>
      <c r="C4" s="94"/>
      <c r="D4" s="93" t="s">
        <v>23</v>
      </c>
      <c r="E4" s="94"/>
      <c r="F4" s="93" t="s">
        <v>17</v>
      </c>
      <c r="G4" s="94"/>
      <c r="H4" s="93" t="s">
        <v>18</v>
      </c>
      <c r="I4" s="94"/>
      <c r="J4" s="93" t="s">
        <v>0</v>
      </c>
      <c r="K4" s="94"/>
      <c r="L4" s="64"/>
      <c r="M4" s="65"/>
      <c r="N4" s="66"/>
      <c r="O4" s="79"/>
      <c r="P4" s="67"/>
    </row>
    <row r="5" spans="1:17" x14ac:dyDescent="0.25">
      <c r="A5" s="91"/>
      <c r="B5" s="93"/>
      <c r="C5" s="94"/>
      <c r="D5" s="93"/>
      <c r="E5" s="94"/>
      <c r="F5" s="93"/>
      <c r="G5" s="94"/>
      <c r="H5" s="93" t="s">
        <v>19</v>
      </c>
      <c r="I5" s="94"/>
      <c r="J5" s="93" t="s">
        <v>24</v>
      </c>
      <c r="K5" s="94"/>
      <c r="L5" s="66"/>
      <c r="M5" s="67"/>
      <c r="N5" s="66"/>
      <c r="O5" s="80"/>
      <c r="P5" s="67"/>
    </row>
    <row r="6" spans="1:17" ht="15.75" thickBot="1" x14ac:dyDescent="0.3">
      <c r="A6" s="92"/>
      <c r="B6" s="62"/>
      <c r="C6" s="63"/>
      <c r="D6" s="62"/>
      <c r="E6" s="63"/>
      <c r="F6" s="62"/>
      <c r="G6" s="63"/>
      <c r="H6" s="68"/>
      <c r="I6" s="69"/>
      <c r="J6" s="62" t="s">
        <v>25</v>
      </c>
      <c r="K6" s="63"/>
      <c r="L6" s="68"/>
      <c r="M6" s="69"/>
      <c r="N6" s="68"/>
      <c r="O6" s="81"/>
      <c r="P6" s="69"/>
    </row>
    <row r="7" spans="1:17" s="5" customFormat="1" ht="16.5" thickBot="1" x14ac:dyDescent="0.3">
      <c r="A7" s="2"/>
      <c r="B7" s="9" t="s">
        <v>1</v>
      </c>
      <c r="C7" s="10" t="s">
        <v>2</v>
      </c>
      <c r="D7" s="9" t="s">
        <v>1</v>
      </c>
      <c r="E7" s="10" t="s">
        <v>2</v>
      </c>
      <c r="F7" s="9" t="s">
        <v>1</v>
      </c>
      <c r="G7" s="10" t="s">
        <v>2</v>
      </c>
      <c r="H7" s="9" t="s">
        <v>1</v>
      </c>
      <c r="I7" s="10" t="s">
        <v>2</v>
      </c>
      <c r="J7" s="9" t="s">
        <v>1</v>
      </c>
      <c r="K7" s="10" t="s">
        <v>2</v>
      </c>
      <c r="L7" s="9" t="s">
        <v>1</v>
      </c>
      <c r="M7" s="10" t="s">
        <v>2</v>
      </c>
      <c r="N7" s="9" t="s">
        <v>1</v>
      </c>
      <c r="O7" s="10" t="s">
        <v>2</v>
      </c>
      <c r="P7" s="11" t="s">
        <v>3</v>
      </c>
    </row>
    <row r="8" spans="1:17" ht="15.75" thickBot="1" x14ac:dyDescent="0.3">
      <c r="A8" s="3" t="s">
        <v>38</v>
      </c>
      <c r="B8" s="34"/>
      <c r="C8" s="34"/>
      <c r="D8" s="34"/>
      <c r="E8" s="34"/>
      <c r="F8" s="34"/>
      <c r="G8" s="34"/>
      <c r="H8" s="35"/>
      <c r="I8" s="34"/>
      <c r="J8" s="34"/>
      <c r="K8" s="34"/>
      <c r="L8" s="34">
        <v>14024.91</v>
      </c>
      <c r="M8" s="34">
        <f>SUM(140913.77+1659.27+256434.65)</f>
        <v>399007.68999999994</v>
      </c>
      <c r="N8" s="34"/>
      <c r="O8" s="34"/>
      <c r="P8" s="34"/>
    </row>
    <row r="9" spans="1:17" ht="15.75" thickBot="1" x14ac:dyDescent="0.3">
      <c r="A9" s="3" t="s">
        <v>37</v>
      </c>
      <c r="B9" s="34"/>
      <c r="C9" s="34"/>
      <c r="D9" s="34"/>
      <c r="E9" s="34"/>
      <c r="F9" s="34"/>
      <c r="G9" s="34"/>
      <c r="H9" s="34"/>
      <c r="I9" s="34"/>
      <c r="J9" s="34"/>
      <c r="K9" s="34"/>
      <c r="L9" s="34"/>
      <c r="M9" s="34">
        <f>SUM(40962.96+2948+51286.93)</f>
        <v>95197.89</v>
      </c>
      <c r="N9" s="34"/>
      <c r="O9" s="34" t="s">
        <v>54</v>
      </c>
      <c r="P9" s="34"/>
      <c r="Q9" s="1" t="s">
        <v>53</v>
      </c>
    </row>
    <row r="10" spans="1:17" ht="15.75" thickBot="1" x14ac:dyDescent="0.3">
      <c r="A10" s="3" t="s">
        <v>39</v>
      </c>
      <c r="B10" s="34"/>
      <c r="C10" s="34"/>
      <c r="D10" s="34"/>
      <c r="E10" s="34"/>
      <c r="F10" s="34"/>
      <c r="G10" s="34"/>
      <c r="H10" s="34"/>
      <c r="I10" s="34"/>
      <c r="J10" s="34"/>
      <c r="K10" s="34"/>
      <c r="L10" s="34"/>
      <c r="M10" s="34">
        <v>18715.25</v>
      </c>
      <c r="N10" s="34"/>
      <c r="O10" s="34"/>
      <c r="P10" s="34"/>
    </row>
    <row r="11" spans="1:17" ht="15.75" thickBot="1" x14ac:dyDescent="0.3">
      <c r="A11" s="3" t="s">
        <v>29</v>
      </c>
      <c r="B11" s="34"/>
      <c r="C11" s="34"/>
      <c r="D11" s="34"/>
      <c r="E11" s="34"/>
      <c r="F11" s="34"/>
      <c r="G11" s="34"/>
      <c r="H11" s="34"/>
      <c r="I11" s="34"/>
      <c r="J11" s="34"/>
      <c r="K11" s="34"/>
      <c r="L11" s="34"/>
      <c r="M11" s="34"/>
      <c r="N11" s="34"/>
      <c r="O11" s="34"/>
      <c r="P11" s="34"/>
    </row>
    <row r="12" spans="1:17" ht="15.75" thickBot="1" x14ac:dyDescent="0.3">
      <c r="A12" s="3" t="s">
        <v>4</v>
      </c>
      <c r="B12" s="34"/>
      <c r="C12" s="34"/>
      <c r="D12" s="34"/>
      <c r="E12" s="34"/>
      <c r="F12" s="34"/>
      <c r="G12" s="34"/>
      <c r="H12" s="34"/>
      <c r="I12" s="34"/>
      <c r="J12" s="34"/>
      <c r="K12" s="34"/>
      <c r="L12" s="34"/>
      <c r="M12" s="34">
        <v>7530.92</v>
      </c>
      <c r="N12" s="34"/>
      <c r="O12" s="34"/>
      <c r="P12" s="34"/>
    </row>
    <row r="13" spans="1:17" ht="15.75" thickBot="1" x14ac:dyDescent="0.3">
      <c r="A13" s="3" t="s">
        <v>40</v>
      </c>
      <c r="B13" s="34"/>
      <c r="C13" s="34"/>
      <c r="D13" s="34"/>
      <c r="E13" s="34"/>
      <c r="F13" s="34"/>
      <c r="G13" s="34"/>
      <c r="H13" s="34"/>
      <c r="I13" s="34"/>
      <c r="J13" s="34"/>
      <c r="K13" s="34"/>
      <c r="L13" s="34"/>
      <c r="M13" s="34">
        <f>SUM(26530.68+745+51286.93)</f>
        <v>78562.61</v>
      </c>
      <c r="N13" s="34"/>
      <c r="O13" s="34"/>
      <c r="P13" s="34"/>
    </row>
    <row r="14" spans="1:17" ht="15.75" thickBot="1" x14ac:dyDescent="0.3">
      <c r="A14" s="3" t="s">
        <v>5</v>
      </c>
      <c r="B14" s="34"/>
      <c r="C14" s="34"/>
      <c r="D14" s="34"/>
      <c r="E14" s="34"/>
      <c r="F14" s="34"/>
      <c r="G14" s="34"/>
      <c r="H14" s="34"/>
      <c r="I14" s="34"/>
      <c r="J14" s="34"/>
      <c r="K14" s="34"/>
      <c r="L14" s="34"/>
      <c r="M14" s="34"/>
      <c r="N14" s="34"/>
      <c r="O14" s="34"/>
      <c r="P14" s="34"/>
    </row>
    <row r="15" spans="1:17" ht="15.75" thickBot="1" x14ac:dyDescent="0.3">
      <c r="A15" s="3" t="s">
        <v>6</v>
      </c>
      <c r="B15" s="36"/>
      <c r="C15" s="36"/>
      <c r="D15" s="36"/>
      <c r="E15" s="36"/>
      <c r="F15" s="36"/>
      <c r="G15" s="36"/>
      <c r="H15" s="36"/>
      <c r="I15" s="36"/>
      <c r="J15" s="36"/>
      <c r="K15" s="36"/>
      <c r="L15" s="36"/>
      <c r="M15" s="36">
        <f>SUM(42192.27+10461.97)</f>
        <v>52654.239999999998</v>
      </c>
      <c r="N15" s="36"/>
      <c r="O15" s="36"/>
      <c r="P15" s="36"/>
    </row>
    <row r="16" spans="1:17" ht="15.75" thickBot="1" x14ac:dyDescent="0.3">
      <c r="A16" s="4" t="s">
        <v>7</v>
      </c>
      <c r="B16" s="36"/>
      <c r="C16" s="36"/>
      <c r="D16" s="36"/>
      <c r="E16" s="36"/>
      <c r="F16" s="36"/>
      <c r="G16" s="36"/>
      <c r="H16" s="36"/>
      <c r="I16" s="36"/>
      <c r="J16" s="36"/>
      <c r="K16" s="36"/>
      <c r="L16" s="36"/>
      <c r="M16" s="36">
        <f>SUM(M8:M15)</f>
        <v>651668.6</v>
      </c>
      <c r="N16" s="36"/>
      <c r="O16" s="36"/>
      <c r="P16" s="36"/>
    </row>
    <row r="17" spans="1:16" ht="15.75" thickBot="1" x14ac:dyDescent="0.3">
      <c r="A17" s="6"/>
      <c r="B17" s="37"/>
      <c r="C17" s="37"/>
      <c r="D17" s="37"/>
      <c r="E17" s="37"/>
      <c r="F17" s="37"/>
      <c r="G17" s="37"/>
      <c r="H17" s="37"/>
      <c r="I17" s="37"/>
      <c r="J17" s="37"/>
      <c r="K17" s="37"/>
      <c r="L17" s="37"/>
      <c r="M17" s="37"/>
      <c r="N17" s="37"/>
      <c r="O17" s="37"/>
      <c r="P17" s="37"/>
    </row>
    <row r="18" spans="1:16" ht="15.75" thickBot="1" x14ac:dyDescent="0.3">
      <c r="A18" s="3" t="s">
        <v>8</v>
      </c>
      <c r="B18" s="36"/>
      <c r="C18" s="36"/>
      <c r="D18" s="36"/>
      <c r="E18" s="36"/>
      <c r="F18" s="36"/>
      <c r="G18" s="36"/>
      <c r="H18" s="36"/>
      <c r="I18" s="36"/>
      <c r="J18" s="36"/>
      <c r="K18" s="36"/>
      <c r="L18" s="36">
        <f>SUM(261034.77+334833.63+871877.81)</f>
        <v>1467746.21</v>
      </c>
      <c r="M18" s="36"/>
      <c r="N18" s="36"/>
      <c r="O18" s="36"/>
      <c r="P18" s="36"/>
    </row>
    <row r="19" spans="1:16" ht="15.75" thickBot="1" x14ac:dyDescent="0.3">
      <c r="A19" s="3" t="s">
        <v>27</v>
      </c>
      <c r="B19" s="36"/>
      <c r="C19" s="36"/>
      <c r="D19" s="36"/>
      <c r="E19" s="36"/>
      <c r="F19" s="36"/>
      <c r="G19" s="36"/>
      <c r="H19" s="36"/>
      <c r="I19" s="36"/>
      <c r="J19" s="36"/>
      <c r="K19" s="36"/>
      <c r="L19" s="36">
        <f>SUM(364838.11+341537.71+1025738.6)</f>
        <v>1732114.42</v>
      </c>
      <c r="M19" s="36"/>
      <c r="N19" s="36"/>
      <c r="O19" s="36"/>
      <c r="P19" s="36"/>
    </row>
    <row r="20" spans="1:16" ht="15.75" thickBot="1" x14ac:dyDescent="0.3">
      <c r="A20" s="3" t="s">
        <v>28</v>
      </c>
      <c r="B20" s="36"/>
      <c r="C20" s="36"/>
      <c r="D20" s="36"/>
      <c r="E20" s="36"/>
      <c r="F20" s="36"/>
      <c r="G20" s="36"/>
      <c r="H20" s="36"/>
      <c r="I20" s="36"/>
      <c r="J20" s="36"/>
      <c r="K20" s="36"/>
      <c r="L20" s="36">
        <f>SUM(699734.62+1038513.23+2513059.57)</f>
        <v>4251307.42</v>
      </c>
      <c r="M20" s="36"/>
      <c r="N20" s="36"/>
      <c r="O20" s="36"/>
      <c r="P20" s="36"/>
    </row>
    <row r="21" spans="1:16" ht="15.75" thickBot="1" x14ac:dyDescent="0.3">
      <c r="A21" s="3" t="s">
        <v>26</v>
      </c>
      <c r="B21" s="36"/>
      <c r="C21" s="36"/>
      <c r="D21" s="36"/>
      <c r="E21" s="36"/>
      <c r="F21" s="36"/>
      <c r="G21" s="36"/>
      <c r="H21" s="36"/>
      <c r="I21" s="36"/>
      <c r="J21" s="36"/>
      <c r="K21" s="36"/>
      <c r="L21" s="36"/>
      <c r="M21" s="36"/>
      <c r="N21" s="36"/>
      <c r="O21" s="36"/>
      <c r="P21" s="36"/>
    </row>
    <row r="22" spans="1:16" ht="15.75" thickBot="1" x14ac:dyDescent="0.3">
      <c r="A22" s="3" t="s">
        <v>29</v>
      </c>
      <c r="B22" s="36"/>
      <c r="C22" s="36"/>
      <c r="D22" s="36"/>
      <c r="E22" s="36"/>
      <c r="F22" s="36"/>
      <c r="G22" s="36"/>
      <c r="H22" s="36"/>
      <c r="I22" s="36"/>
      <c r="J22" s="36"/>
      <c r="K22" s="36"/>
      <c r="L22" s="36"/>
      <c r="M22" s="36"/>
      <c r="N22" s="36"/>
      <c r="O22" s="36"/>
      <c r="P22" s="36"/>
    </row>
    <row r="23" spans="1:16" ht="15.75" thickBot="1" x14ac:dyDescent="0.3">
      <c r="A23" s="3" t="s">
        <v>30</v>
      </c>
      <c r="B23" s="36"/>
      <c r="C23" s="36"/>
      <c r="D23" s="36"/>
      <c r="E23" s="36"/>
      <c r="F23" s="36"/>
      <c r="G23" s="36"/>
      <c r="H23" s="36"/>
      <c r="I23" s="36"/>
      <c r="J23" s="36"/>
      <c r="K23" s="36"/>
      <c r="L23" s="36">
        <f>SUM(53756.07+184003.03+359008.51)</f>
        <v>596767.61</v>
      </c>
      <c r="M23" s="36"/>
      <c r="N23" s="36"/>
      <c r="O23" s="36"/>
      <c r="P23" s="36"/>
    </row>
    <row r="24" spans="1:16" ht="15.75" thickBot="1" x14ac:dyDescent="0.3">
      <c r="A24" s="4" t="s">
        <v>9</v>
      </c>
      <c r="B24" s="36"/>
      <c r="C24" s="36"/>
      <c r="D24" s="36"/>
      <c r="E24" s="36"/>
      <c r="F24" s="36"/>
      <c r="G24" s="36"/>
      <c r="H24" s="36"/>
      <c r="I24" s="36"/>
      <c r="J24" s="36"/>
      <c r="K24" s="36"/>
      <c r="L24" s="36">
        <f>SUM(L18:L23)</f>
        <v>8047935.6600000001</v>
      </c>
      <c r="M24" s="36"/>
      <c r="N24" s="36"/>
      <c r="O24" s="36"/>
      <c r="P24" s="36"/>
    </row>
    <row r="25" spans="1:16" ht="15.75" thickBot="1" x14ac:dyDescent="0.3">
      <c r="A25" s="6"/>
      <c r="B25" s="37"/>
      <c r="C25" s="37"/>
      <c r="D25" s="37"/>
      <c r="E25" s="37"/>
      <c r="F25" s="37"/>
      <c r="G25" s="37"/>
      <c r="H25" s="37"/>
      <c r="I25" s="37"/>
      <c r="J25" s="37"/>
      <c r="K25" s="37"/>
      <c r="L25" s="37"/>
      <c r="M25" s="37"/>
      <c r="N25" s="37"/>
      <c r="O25" s="37"/>
      <c r="P25" s="37"/>
    </row>
    <row r="26" spans="1:16" ht="15.75" thickBot="1" x14ac:dyDescent="0.3">
      <c r="A26" s="4" t="s">
        <v>31</v>
      </c>
      <c r="B26" s="36"/>
      <c r="C26" s="36"/>
      <c r="D26" s="36"/>
      <c r="E26" s="36"/>
      <c r="F26" s="36"/>
      <c r="G26" s="36"/>
      <c r="H26" s="36"/>
      <c r="I26" s="36"/>
      <c r="J26" s="36"/>
      <c r="K26" s="36"/>
      <c r="L26" s="36">
        <f>SUM(360001.18+474097.45+1353619.69)</f>
        <v>2187718.3199999998</v>
      </c>
      <c r="M26" s="36">
        <f>SUM(272581.8+522178.18+900535.28)</f>
        <v>1695295.26</v>
      </c>
      <c r="N26" s="36"/>
      <c r="O26" s="36"/>
      <c r="P26" s="36"/>
    </row>
    <row r="27" spans="1:16" ht="15.75" thickBot="1" x14ac:dyDescent="0.3">
      <c r="A27" s="6"/>
      <c r="B27" s="37"/>
      <c r="C27" s="37"/>
      <c r="D27" s="37"/>
      <c r="E27" s="37"/>
      <c r="F27" s="37"/>
      <c r="G27" s="37"/>
      <c r="H27" s="37"/>
      <c r="I27" s="37"/>
      <c r="J27" s="37"/>
      <c r="K27" s="37"/>
      <c r="L27" s="37"/>
      <c r="M27" s="37"/>
      <c r="N27" s="37"/>
      <c r="O27" s="37"/>
      <c r="P27" s="37"/>
    </row>
    <row r="28" spans="1:16" ht="15.75" thickBot="1" x14ac:dyDescent="0.3">
      <c r="A28" s="3" t="s">
        <v>10</v>
      </c>
      <c r="B28" s="36"/>
      <c r="C28" s="36"/>
      <c r="D28" s="36"/>
      <c r="E28" s="36"/>
      <c r="F28" s="36"/>
      <c r="G28" s="36"/>
      <c r="H28" s="36"/>
      <c r="I28" s="36"/>
      <c r="J28" s="36"/>
      <c r="K28" s="36"/>
      <c r="L28" s="36"/>
      <c r="M28" s="36"/>
      <c r="N28" s="36"/>
      <c r="O28" s="36"/>
      <c r="P28" s="36"/>
    </row>
    <row r="29" spans="1:16" ht="15.75" thickBot="1" x14ac:dyDescent="0.3">
      <c r="A29" s="3" t="s">
        <v>11</v>
      </c>
      <c r="B29" s="36"/>
      <c r="C29" s="36"/>
      <c r="D29" s="36"/>
      <c r="E29" s="36"/>
      <c r="F29" s="36"/>
      <c r="G29" s="36"/>
      <c r="H29" s="36"/>
      <c r="I29" s="36"/>
      <c r="J29" s="36"/>
      <c r="K29" s="36"/>
      <c r="L29" s="36"/>
      <c r="M29" s="36"/>
      <c r="N29" s="36"/>
      <c r="O29" s="36"/>
      <c r="P29" s="36"/>
    </row>
    <row r="30" spans="1:16" ht="15.75" thickBot="1" x14ac:dyDescent="0.3">
      <c r="A30" s="3" t="s">
        <v>12</v>
      </c>
      <c r="B30" s="36"/>
      <c r="C30" s="36"/>
      <c r="D30" s="36"/>
      <c r="E30" s="36"/>
      <c r="F30" s="36"/>
      <c r="G30" s="36"/>
      <c r="H30" s="36"/>
      <c r="I30" s="36"/>
      <c r="J30" s="36"/>
      <c r="K30" s="36"/>
      <c r="L30" s="36"/>
      <c r="M30" s="36"/>
      <c r="N30" s="36"/>
      <c r="O30" s="36"/>
      <c r="P30" s="36"/>
    </row>
    <row r="31" spans="1:16" ht="27.75" thickBot="1" x14ac:dyDescent="0.3">
      <c r="A31" s="4" t="s">
        <v>13</v>
      </c>
      <c r="B31" s="36"/>
      <c r="C31" s="36"/>
      <c r="D31" s="36"/>
      <c r="E31" s="36"/>
      <c r="F31" s="36"/>
      <c r="G31" s="36"/>
      <c r="H31" s="36"/>
      <c r="I31" s="36"/>
      <c r="J31" s="36"/>
      <c r="K31" s="36"/>
      <c r="L31" s="36"/>
      <c r="M31" s="36"/>
      <c r="N31" s="36"/>
      <c r="O31" s="36"/>
      <c r="P31" s="36"/>
    </row>
    <row r="32" spans="1:16" ht="15.75" thickBot="1" x14ac:dyDescent="0.3">
      <c r="A32" s="7"/>
      <c r="B32" s="37"/>
      <c r="C32" s="37"/>
      <c r="D32" s="37"/>
      <c r="E32" s="37"/>
      <c r="F32" s="37"/>
      <c r="G32" s="37"/>
      <c r="H32" s="37"/>
      <c r="I32" s="37"/>
      <c r="J32" s="37"/>
      <c r="K32" s="37"/>
      <c r="L32" s="37"/>
      <c r="M32" s="37"/>
      <c r="N32" s="37"/>
      <c r="O32" s="37"/>
      <c r="P32" s="37"/>
    </row>
    <row r="33" spans="1:16" ht="15.75" thickBot="1" x14ac:dyDescent="0.3">
      <c r="A33" s="4" t="s">
        <v>14</v>
      </c>
      <c r="B33" s="61"/>
      <c r="C33" s="61"/>
      <c r="D33" s="61"/>
      <c r="E33" s="61"/>
      <c r="F33" s="61"/>
      <c r="G33" s="61"/>
      <c r="H33" s="61"/>
      <c r="I33" s="61"/>
      <c r="J33" s="61"/>
      <c r="K33" s="61"/>
      <c r="L33" s="61">
        <v>13822.5</v>
      </c>
      <c r="M33" s="61">
        <f>SUM(316785.05+121877.82)</f>
        <v>438662.87</v>
      </c>
      <c r="N33" s="61"/>
      <c r="O33" s="61"/>
      <c r="P33" s="61"/>
    </row>
    <row r="34" spans="1:16" ht="15.75" thickBot="1" x14ac:dyDescent="0.3">
      <c r="A34" s="7"/>
      <c r="B34" s="37"/>
      <c r="C34" s="37"/>
      <c r="D34" s="37"/>
      <c r="E34" s="37"/>
      <c r="F34" s="37"/>
      <c r="G34" s="37"/>
      <c r="H34" s="37"/>
      <c r="I34" s="37"/>
      <c r="J34" s="37"/>
      <c r="K34" s="37"/>
      <c r="L34" s="37"/>
      <c r="M34" s="37"/>
      <c r="N34" s="37"/>
      <c r="O34" s="37"/>
      <c r="P34" s="37"/>
    </row>
    <row r="35" spans="1:16" ht="15.75" thickBot="1" x14ac:dyDescent="0.3">
      <c r="A35" s="4" t="s">
        <v>32</v>
      </c>
      <c r="B35" s="36"/>
      <c r="C35" s="36"/>
      <c r="D35" s="36"/>
      <c r="E35" s="36"/>
      <c r="F35" s="36"/>
      <c r="G35" s="36"/>
      <c r="H35" s="36"/>
      <c r="I35" s="36"/>
      <c r="J35" s="36"/>
      <c r="K35" s="36"/>
      <c r="L35" s="36"/>
      <c r="M35" s="36">
        <f>SUM(112626.35+235566.84+266285.76)</f>
        <v>614478.94999999995</v>
      </c>
      <c r="N35" s="36"/>
      <c r="O35" s="36"/>
      <c r="P35" s="36"/>
    </row>
    <row r="36" spans="1:16" ht="15.75" thickBot="1" x14ac:dyDescent="0.3">
      <c r="A36" s="6"/>
      <c r="B36" s="37"/>
      <c r="C36" s="37"/>
      <c r="D36" s="37"/>
      <c r="E36" s="37"/>
      <c r="F36" s="37"/>
      <c r="G36" s="37"/>
      <c r="H36" s="37"/>
      <c r="I36" s="37"/>
      <c r="J36" s="37"/>
      <c r="K36" s="37"/>
      <c r="L36" s="37"/>
      <c r="M36" s="37"/>
      <c r="N36" s="37"/>
      <c r="O36" s="37"/>
      <c r="P36" s="37"/>
    </row>
    <row r="37" spans="1:16" ht="15.75" thickBot="1" x14ac:dyDescent="0.3">
      <c r="A37" s="8" t="s">
        <v>15</v>
      </c>
      <c r="B37" s="36"/>
      <c r="C37" s="36"/>
      <c r="D37" s="36"/>
      <c r="E37" s="36"/>
      <c r="F37" s="36"/>
      <c r="G37" s="36"/>
      <c r="H37" s="36"/>
      <c r="I37" s="36"/>
      <c r="J37" s="36"/>
      <c r="K37" s="36"/>
      <c r="L37" s="36">
        <f>SUM(L24, L26, L33)</f>
        <v>10249476.48</v>
      </c>
      <c r="M37" s="36">
        <f>SUM(M16, M26, M31, M33, M35)</f>
        <v>3400105.6799999997</v>
      </c>
      <c r="N37" s="36"/>
      <c r="O37" s="36">
        <v>9027.89</v>
      </c>
      <c r="P37" s="36"/>
    </row>
  </sheetData>
  <mergeCells count="21">
    <mergeCell ref="N1:P3"/>
    <mergeCell ref="N4:P4"/>
    <mergeCell ref="N5:P5"/>
    <mergeCell ref="N6:P6"/>
    <mergeCell ref="A1:A3"/>
    <mergeCell ref="B1:E3"/>
    <mergeCell ref="F1:K3"/>
    <mergeCell ref="A4:A6"/>
    <mergeCell ref="B4:C6"/>
    <mergeCell ref="D4:E6"/>
    <mergeCell ref="F4:G6"/>
    <mergeCell ref="H4:I4"/>
    <mergeCell ref="H5:I5"/>
    <mergeCell ref="H6:I6"/>
    <mergeCell ref="J4:K4"/>
    <mergeCell ref="J5:K5"/>
    <mergeCell ref="J6:K6"/>
    <mergeCell ref="L4:M4"/>
    <mergeCell ref="L5:M5"/>
    <mergeCell ref="L6:M6"/>
    <mergeCell ref="L1:M3"/>
  </mergeCells>
  <pageMargins left="0.7" right="0.7" top="0.75" bottom="0.75" header="0.3" footer="0.3"/>
  <pageSetup scale="72" orientation="landscape"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7"/>
  <sheetViews>
    <sheetView workbookViewId="0">
      <selection activeCell="C40" sqref="C40"/>
    </sheetView>
  </sheetViews>
  <sheetFormatPr defaultColWidth="9.140625" defaultRowHeight="15" x14ac:dyDescent="0.25"/>
  <cols>
    <col min="1" max="1" width="26.5703125" style="1" customWidth="1"/>
    <col min="2" max="11" width="9.140625" style="1"/>
    <col min="12" max="12" width="12.5703125" style="1" customWidth="1"/>
    <col min="13" max="13" width="10" style="1" bestFit="1" customWidth="1"/>
    <col min="14" max="16384" width="9.140625" style="1"/>
  </cols>
  <sheetData>
    <row r="1" spans="1:17" x14ac:dyDescent="0.25">
      <c r="A1" s="82">
        <v>2016</v>
      </c>
      <c r="B1" s="70" t="s">
        <v>20</v>
      </c>
      <c r="C1" s="85"/>
      <c r="D1" s="85"/>
      <c r="E1" s="86"/>
      <c r="F1" s="70" t="s">
        <v>21</v>
      </c>
      <c r="G1" s="85"/>
      <c r="H1" s="85"/>
      <c r="I1" s="85"/>
      <c r="J1" s="85"/>
      <c r="K1" s="86"/>
      <c r="L1" s="70" t="s">
        <v>22</v>
      </c>
      <c r="M1" s="71"/>
      <c r="N1" s="70" t="s">
        <v>36</v>
      </c>
      <c r="O1" s="74"/>
      <c r="P1" s="75"/>
    </row>
    <row r="2" spans="1:17" x14ac:dyDescent="0.25">
      <c r="A2" s="83"/>
      <c r="B2" s="64"/>
      <c r="C2" s="87"/>
      <c r="D2" s="87"/>
      <c r="E2" s="65"/>
      <c r="F2" s="64"/>
      <c r="G2" s="87"/>
      <c r="H2" s="87"/>
      <c r="I2" s="87"/>
      <c r="J2" s="87"/>
      <c r="K2" s="65"/>
      <c r="L2" s="72"/>
      <c r="M2" s="73"/>
      <c r="N2" s="76"/>
      <c r="O2" s="77"/>
      <c r="P2" s="78"/>
    </row>
    <row r="3" spans="1:17" ht="15.75" thickBot="1" x14ac:dyDescent="0.3">
      <c r="A3" s="84"/>
      <c r="B3" s="88"/>
      <c r="C3" s="89"/>
      <c r="D3" s="89"/>
      <c r="E3" s="90"/>
      <c r="F3" s="88"/>
      <c r="G3" s="89"/>
      <c r="H3" s="89"/>
      <c r="I3" s="89"/>
      <c r="J3" s="89"/>
      <c r="K3" s="90"/>
      <c r="L3" s="72"/>
      <c r="M3" s="73"/>
      <c r="N3" s="76"/>
      <c r="O3" s="77"/>
      <c r="P3" s="78"/>
    </row>
    <row r="4" spans="1:17" x14ac:dyDescent="0.25">
      <c r="A4" s="91"/>
      <c r="B4" s="93" t="s">
        <v>17</v>
      </c>
      <c r="C4" s="94"/>
      <c r="D4" s="93" t="s">
        <v>23</v>
      </c>
      <c r="E4" s="94"/>
      <c r="F4" s="93" t="s">
        <v>17</v>
      </c>
      <c r="G4" s="94"/>
      <c r="H4" s="93" t="s">
        <v>18</v>
      </c>
      <c r="I4" s="94"/>
      <c r="J4" s="93" t="s">
        <v>0</v>
      </c>
      <c r="K4" s="94"/>
      <c r="L4" s="64"/>
      <c r="M4" s="65"/>
      <c r="N4" s="72"/>
      <c r="O4" s="98"/>
      <c r="P4" s="73"/>
    </row>
    <row r="5" spans="1:17" x14ac:dyDescent="0.25">
      <c r="A5" s="91"/>
      <c r="B5" s="93"/>
      <c r="C5" s="94"/>
      <c r="D5" s="93"/>
      <c r="E5" s="94"/>
      <c r="F5" s="93"/>
      <c r="G5" s="94"/>
      <c r="H5" s="93" t="s">
        <v>19</v>
      </c>
      <c r="I5" s="94"/>
      <c r="J5" s="93" t="s">
        <v>24</v>
      </c>
      <c r="K5" s="94"/>
      <c r="L5" s="72"/>
      <c r="M5" s="73"/>
      <c r="N5" s="72"/>
      <c r="O5" s="99"/>
      <c r="P5" s="73"/>
    </row>
    <row r="6" spans="1:17" ht="15.75" thickBot="1" x14ac:dyDescent="0.3">
      <c r="A6" s="92"/>
      <c r="B6" s="62"/>
      <c r="C6" s="63"/>
      <c r="D6" s="62"/>
      <c r="E6" s="63"/>
      <c r="F6" s="62"/>
      <c r="G6" s="63"/>
      <c r="H6" s="95"/>
      <c r="I6" s="96"/>
      <c r="J6" s="62" t="s">
        <v>25</v>
      </c>
      <c r="K6" s="63"/>
      <c r="L6" s="95"/>
      <c r="M6" s="96"/>
      <c r="N6" s="95"/>
      <c r="O6" s="97"/>
      <c r="P6" s="96"/>
    </row>
    <row r="7" spans="1:17" s="5" customFormat="1" ht="16.5" thickBot="1" x14ac:dyDescent="0.3">
      <c r="A7" s="2"/>
      <c r="B7" s="9" t="s">
        <v>1</v>
      </c>
      <c r="C7" s="10" t="s">
        <v>2</v>
      </c>
      <c r="D7" s="9" t="s">
        <v>1</v>
      </c>
      <c r="E7" s="10" t="s">
        <v>2</v>
      </c>
      <c r="F7" s="9" t="s">
        <v>1</v>
      </c>
      <c r="G7" s="10" t="s">
        <v>2</v>
      </c>
      <c r="H7" s="9" t="s">
        <v>1</v>
      </c>
      <c r="I7" s="10" t="s">
        <v>2</v>
      </c>
      <c r="J7" s="9" t="s">
        <v>1</v>
      </c>
      <c r="K7" s="10" t="s">
        <v>2</v>
      </c>
      <c r="L7" s="9" t="s">
        <v>1</v>
      </c>
      <c r="M7" s="10" t="s">
        <v>2</v>
      </c>
      <c r="N7" s="9" t="s">
        <v>1</v>
      </c>
      <c r="O7" s="10" t="s">
        <v>2</v>
      </c>
      <c r="P7" s="11" t="s">
        <v>3</v>
      </c>
    </row>
    <row r="8" spans="1:17" ht="15.75" thickBot="1" x14ac:dyDescent="0.3">
      <c r="A8" s="3" t="s">
        <v>38</v>
      </c>
      <c r="B8" s="36"/>
      <c r="C8" s="36"/>
      <c r="D8" s="36"/>
      <c r="E8" s="36"/>
      <c r="F8" s="36"/>
      <c r="G8" s="36"/>
      <c r="H8" s="38"/>
      <c r="I8" s="36"/>
      <c r="J8" s="36"/>
      <c r="K8" s="36"/>
      <c r="L8" s="36">
        <v>13174.78</v>
      </c>
      <c r="M8" s="36">
        <f>SUM(175274.56+13942.12+270650.15)</f>
        <v>459866.83</v>
      </c>
      <c r="N8" s="36"/>
      <c r="O8" s="36"/>
      <c r="P8" s="36"/>
    </row>
    <row r="9" spans="1:17" ht="15.75" thickBot="1" x14ac:dyDescent="0.3">
      <c r="A9" s="3" t="s">
        <v>37</v>
      </c>
      <c r="B9" s="36"/>
      <c r="C9" s="36"/>
      <c r="D9" s="36"/>
      <c r="E9" s="36"/>
      <c r="F9" s="36"/>
      <c r="G9" s="36"/>
      <c r="H9" s="36"/>
      <c r="I9" s="36"/>
      <c r="J9" s="36"/>
      <c r="K9" s="36"/>
      <c r="L9" s="36"/>
      <c r="M9" s="36">
        <f>SUM(43944.21+5820+ 54130.03)</f>
        <v>103894.23999999999</v>
      </c>
      <c r="N9" s="36"/>
      <c r="O9" s="36" t="s">
        <v>55</v>
      </c>
      <c r="P9" s="36"/>
      <c r="Q9" s="1" t="s">
        <v>56</v>
      </c>
    </row>
    <row r="10" spans="1:17" ht="15.75" thickBot="1" x14ac:dyDescent="0.3">
      <c r="A10" s="3" t="s">
        <v>39</v>
      </c>
      <c r="B10" s="36"/>
      <c r="C10" s="36"/>
      <c r="D10" s="36"/>
      <c r="E10" s="36"/>
      <c r="F10" s="36"/>
      <c r="G10" s="36"/>
      <c r="H10" s="36"/>
      <c r="I10" s="36"/>
      <c r="J10" s="36"/>
      <c r="K10" s="36"/>
      <c r="L10" s="36"/>
      <c r="M10" s="36">
        <v>25814.18</v>
      </c>
      <c r="N10" s="36"/>
      <c r="O10" s="36"/>
      <c r="P10" s="36"/>
    </row>
    <row r="11" spans="1:17" ht="15.75" thickBot="1" x14ac:dyDescent="0.3">
      <c r="A11" s="3" t="s">
        <v>29</v>
      </c>
      <c r="B11" s="36"/>
      <c r="C11" s="36"/>
      <c r="D11" s="36"/>
      <c r="E11" s="36"/>
      <c r="F11" s="36"/>
      <c r="G11" s="36"/>
      <c r="H11" s="36"/>
      <c r="I11" s="36"/>
      <c r="J11" s="36"/>
      <c r="K11" s="36"/>
      <c r="L11" s="36"/>
      <c r="M11" s="36"/>
      <c r="N11" s="36"/>
      <c r="O11" s="36"/>
      <c r="P11" s="36"/>
    </row>
    <row r="12" spans="1:17" ht="15.75" thickBot="1" x14ac:dyDescent="0.3">
      <c r="A12" s="3" t="s">
        <v>4</v>
      </c>
      <c r="B12" s="36"/>
      <c r="C12" s="36"/>
      <c r="D12" s="36"/>
      <c r="E12" s="36"/>
      <c r="F12" s="36"/>
      <c r="G12" s="36"/>
      <c r="H12" s="36"/>
      <c r="I12" s="36"/>
      <c r="J12" s="36"/>
      <c r="K12" s="36"/>
      <c r="L12" s="36"/>
      <c r="M12" s="36">
        <v>8380.7999999999993</v>
      </c>
      <c r="N12" s="36"/>
      <c r="O12" s="36"/>
      <c r="P12" s="36"/>
    </row>
    <row r="13" spans="1:17" ht="15.75" thickBot="1" x14ac:dyDescent="0.3">
      <c r="A13" s="3" t="s">
        <v>40</v>
      </c>
      <c r="B13" s="36"/>
      <c r="C13" s="36"/>
      <c r="D13" s="36"/>
      <c r="E13" s="36"/>
      <c r="F13" s="36"/>
      <c r="G13" s="36"/>
      <c r="H13" s="36"/>
      <c r="I13" s="36"/>
      <c r="J13" s="36"/>
      <c r="K13" s="36"/>
      <c r="L13" s="36"/>
      <c r="M13" s="36">
        <f>SUM(36978.88+14666.56+54130.03)</f>
        <v>105775.47</v>
      </c>
      <c r="N13" s="36"/>
      <c r="O13" s="36"/>
      <c r="P13" s="36"/>
    </row>
    <row r="14" spans="1:17" ht="15.75" thickBot="1" x14ac:dyDescent="0.3">
      <c r="A14" s="3" t="s">
        <v>5</v>
      </c>
      <c r="B14" s="36"/>
      <c r="C14" s="36"/>
      <c r="D14" s="36"/>
      <c r="E14" s="36"/>
      <c r="F14" s="36"/>
      <c r="G14" s="36"/>
      <c r="H14" s="36"/>
      <c r="I14" s="36"/>
      <c r="J14" s="36"/>
      <c r="K14" s="36"/>
      <c r="L14" s="36"/>
      <c r="M14" s="36"/>
      <c r="N14" s="36"/>
      <c r="O14" s="36"/>
      <c r="P14" s="36"/>
    </row>
    <row r="15" spans="1:17" ht="15.75" thickBot="1" x14ac:dyDescent="0.3">
      <c r="A15" s="3" t="s">
        <v>6</v>
      </c>
      <c r="B15" s="36"/>
      <c r="C15" s="36"/>
      <c r="D15" s="36"/>
      <c r="E15" s="36"/>
      <c r="F15" s="36"/>
      <c r="G15" s="36"/>
      <c r="H15" s="36"/>
      <c r="I15" s="36"/>
      <c r="J15" s="36"/>
      <c r="K15" s="36"/>
      <c r="L15" s="36"/>
      <c r="M15" s="36">
        <f>SUM(47602.09+9973.75)</f>
        <v>57575.839999999997</v>
      </c>
      <c r="N15" s="36"/>
      <c r="O15" s="36"/>
      <c r="P15" s="36"/>
    </row>
    <row r="16" spans="1:17" ht="15.75" thickBot="1" x14ac:dyDescent="0.3">
      <c r="A16" s="4" t="s">
        <v>7</v>
      </c>
      <c r="B16" s="36"/>
      <c r="C16" s="36"/>
      <c r="D16" s="36"/>
      <c r="E16" s="36"/>
      <c r="F16" s="36"/>
      <c r="G16" s="36"/>
      <c r="H16" s="36"/>
      <c r="I16" s="36"/>
      <c r="J16" s="36"/>
      <c r="K16" s="36"/>
      <c r="L16" s="36"/>
      <c r="M16" s="36">
        <f>SUM(M8:M15)</f>
        <v>761307.3600000001</v>
      </c>
      <c r="N16" s="36"/>
      <c r="O16" s="36"/>
      <c r="P16" s="36"/>
    </row>
    <row r="17" spans="1:16" ht="15.75" thickBot="1" x14ac:dyDescent="0.3">
      <c r="A17" s="6"/>
      <c r="B17" s="37"/>
      <c r="C17" s="37"/>
      <c r="D17" s="37"/>
      <c r="E17" s="37"/>
      <c r="F17" s="37"/>
      <c r="G17" s="37"/>
      <c r="H17" s="37"/>
      <c r="I17" s="37"/>
      <c r="J17" s="37"/>
      <c r="K17" s="37"/>
      <c r="L17" s="37"/>
      <c r="M17" s="37"/>
      <c r="N17" s="37"/>
      <c r="O17" s="37"/>
      <c r="P17" s="37"/>
    </row>
    <row r="18" spans="1:16" ht="15.75" thickBot="1" x14ac:dyDescent="0.3">
      <c r="A18" s="3" t="s">
        <v>8</v>
      </c>
      <c r="B18" s="36"/>
      <c r="C18" s="36"/>
      <c r="D18" s="36"/>
      <c r="E18" s="36"/>
      <c r="F18" s="36"/>
      <c r="G18" s="36"/>
      <c r="H18" s="36"/>
      <c r="I18" s="36"/>
      <c r="J18" s="36"/>
      <c r="K18" s="36"/>
      <c r="L18" s="36">
        <f>SUM(270525.83+259697.55+920210.51)</f>
        <v>1450433.8900000001</v>
      </c>
      <c r="M18" s="36"/>
      <c r="N18" s="36"/>
      <c r="O18" s="36"/>
      <c r="P18" s="36"/>
    </row>
    <row r="19" spans="1:16" ht="15.75" thickBot="1" x14ac:dyDescent="0.3">
      <c r="A19" s="3" t="s">
        <v>27</v>
      </c>
      <c r="B19" s="36"/>
      <c r="C19" s="36"/>
      <c r="D19" s="36"/>
      <c r="E19" s="36"/>
      <c r="F19" s="36"/>
      <c r="G19" s="36"/>
      <c r="H19" s="36"/>
      <c r="I19" s="36"/>
      <c r="J19" s="36"/>
      <c r="K19" s="36"/>
      <c r="L19" s="36">
        <f>SUM(477730.38+381230.52+1082600.6)</f>
        <v>1941561.5</v>
      </c>
      <c r="M19" s="36"/>
      <c r="N19" s="36"/>
      <c r="O19" s="36"/>
      <c r="P19" s="36"/>
    </row>
    <row r="20" spans="1:16" ht="15.75" thickBot="1" x14ac:dyDescent="0.3">
      <c r="A20" s="3" t="s">
        <v>28</v>
      </c>
      <c r="B20" s="36"/>
      <c r="C20" s="36"/>
      <c r="D20" s="36"/>
      <c r="E20" s="36"/>
      <c r="F20" s="36"/>
      <c r="G20" s="36"/>
      <c r="H20" s="36"/>
      <c r="I20" s="36"/>
      <c r="J20" s="36"/>
      <c r="K20" s="36"/>
      <c r="L20" s="36">
        <f>SUM(985596.5+1136989.68+2652371.47)</f>
        <v>4774957.6500000004</v>
      </c>
      <c r="M20" s="36"/>
      <c r="N20" s="36"/>
      <c r="O20" s="36"/>
      <c r="P20" s="36"/>
    </row>
    <row r="21" spans="1:16" ht="15.75" thickBot="1" x14ac:dyDescent="0.3">
      <c r="A21" s="3" t="s">
        <v>26</v>
      </c>
      <c r="B21" s="36"/>
      <c r="C21" s="36"/>
      <c r="D21" s="36"/>
      <c r="E21" s="36"/>
      <c r="F21" s="36"/>
      <c r="G21" s="36"/>
      <c r="H21" s="36"/>
      <c r="I21" s="36"/>
      <c r="J21" s="36"/>
      <c r="K21" s="36"/>
      <c r="L21" s="36"/>
      <c r="M21" s="36"/>
      <c r="N21" s="36"/>
      <c r="O21" s="36"/>
      <c r="P21" s="36"/>
    </row>
    <row r="22" spans="1:16" ht="15.75" thickBot="1" x14ac:dyDescent="0.3">
      <c r="A22" s="3" t="s">
        <v>29</v>
      </c>
      <c r="B22" s="36"/>
      <c r="C22" s="36"/>
      <c r="D22" s="36"/>
      <c r="E22" s="36"/>
      <c r="F22" s="36"/>
      <c r="G22" s="36"/>
      <c r="H22" s="36"/>
      <c r="I22" s="36"/>
      <c r="J22" s="36"/>
      <c r="K22" s="36"/>
      <c r="L22" s="36">
        <v>405.96</v>
      </c>
      <c r="M22" s="36"/>
      <c r="N22" s="36"/>
      <c r="O22" s="36"/>
      <c r="P22" s="36"/>
    </row>
    <row r="23" spans="1:16" ht="15.75" thickBot="1" x14ac:dyDescent="0.3">
      <c r="A23" s="3" t="s">
        <v>30</v>
      </c>
      <c r="B23" s="36"/>
      <c r="C23" s="36"/>
      <c r="D23" s="36"/>
      <c r="E23" s="36"/>
      <c r="F23" s="36"/>
      <c r="G23" s="36"/>
      <c r="H23" s="36"/>
      <c r="I23" s="36"/>
      <c r="J23" s="36"/>
      <c r="K23" s="36"/>
      <c r="L23" s="36">
        <f>SUM(74709.56+233523.04+378910.21)</f>
        <v>687142.81</v>
      </c>
      <c r="M23" s="36"/>
      <c r="N23" s="36"/>
      <c r="O23" s="36"/>
      <c r="P23" s="36"/>
    </row>
    <row r="24" spans="1:16" ht="15.75" thickBot="1" x14ac:dyDescent="0.3">
      <c r="A24" s="4" t="s">
        <v>9</v>
      </c>
      <c r="B24" s="36"/>
      <c r="C24" s="36"/>
      <c r="D24" s="36"/>
      <c r="E24" s="36"/>
      <c r="F24" s="36"/>
      <c r="G24" s="36"/>
      <c r="H24" s="36"/>
      <c r="I24" s="36"/>
      <c r="J24" s="36"/>
      <c r="K24" s="36"/>
      <c r="L24" s="36">
        <f>SUM(L18:L23)</f>
        <v>8854501.8100000005</v>
      </c>
      <c r="M24" s="36"/>
      <c r="N24" s="36"/>
      <c r="O24" s="36"/>
      <c r="P24" s="36"/>
    </row>
    <row r="25" spans="1:16" ht="15.75" thickBot="1" x14ac:dyDescent="0.3">
      <c r="A25" s="6"/>
      <c r="B25" s="37"/>
      <c r="C25" s="37"/>
      <c r="D25" s="37"/>
      <c r="E25" s="37"/>
      <c r="F25" s="37"/>
      <c r="G25" s="37"/>
      <c r="H25" s="37"/>
      <c r="I25" s="37"/>
      <c r="J25" s="37"/>
      <c r="K25" s="37"/>
      <c r="L25" s="37"/>
      <c r="M25" s="37"/>
      <c r="N25" s="37"/>
      <c r="O25" s="37"/>
      <c r="P25" s="37"/>
    </row>
    <row r="26" spans="1:16" ht="15.75" thickBot="1" x14ac:dyDescent="0.3">
      <c r="A26" s="4" t="s">
        <v>31</v>
      </c>
      <c r="B26" s="36"/>
      <c r="C26" s="36"/>
      <c r="D26" s="36"/>
      <c r="E26" s="36"/>
      <c r="F26" s="36"/>
      <c r="G26" s="36"/>
      <c r="H26" s="36"/>
      <c r="I26" s="36"/>
      <c r="J26" s="36"/>
      <c r="K26" s="36"/>
      <c r="L26" s="36">
        <f>SUM(380338.32+487699.26+1276081.17)</f>
        <v>2144118.75</v>
      </c>
      <c r="M26" s="36">
        <f>SUM(111524.14+534533.62+699110.65)</f>
        <v>1345168.4100000001</v>
      </c>
      <c r="N26" s="36"/>
      <c r="O26" s="36"/>
      <c r="P26" s="36"/>
    </row>
    <row r="27" spans="1:16" ht="15.75" thickBot="1" x14ac:dyDescent="0.3">
      <c r="A27" s="6"/>
      <c r="B27" s="37"/>
      <c r="C27" s="37"/>
      <c r="D27" s="37"/>
      <c r="E27" s="37"/>
      <c r="F27" s="37"/>
      <c r="G27" s="37"/>
      <c r="H27" s="37"/>
      <c r="I27" s="37"/>
      <c r="J27" s="37"/>
      <c r="K27" s="37"/>
      <c r="L27" s="37"/>
      <c r="M27" s="37"/>
      <c r="N27" s="37"/>
      <c r="O27" s="37"/>
      <c r="P27" s="37"/>
    </row>
    <row r="28" spans="1:16" ht="15.75" thickBot="1" x14ac:dyDescent="0.3">
      <c r="A28" s="3" t="s">
        <v>10</v>
      </c>
      <c r="B28" s="36"/>
      <c r="C28" s="36"/>
      <c r="D28" s="36"/>
      <c r="E28" s="36"/>
      <c r="F28" s="36"/>
      <c r="G28" s="36"/>
      <c r="H28" s="36"/>
      <c r="I28" s="36"/>
      <c r="J28" s="36"/>
      <c r="K28" s="36"/>
      <c r="L28" s="36"/>
      <c r="M28" s="36"/>
      <c r="N28" s="36"/>
      <c r="O28" s="36"/>
      <c r="P28" s="36"/>
    </row>
    <row r="29" spans="1:16" ht="15.75" thickBot="1" x14ac:dyDescent="0.3">
      <c r="A29" s="3" t="s">
        <v>11</v>
      </c>
      <c r="B29" s="36"/>
      <c r="C29" s="36"/>
      <c r="D29" s="36"/>
      <c r="E29" s="36"/>
      <c r="F29" s="36"/>
      <c r="G29" s="36"/>
      <c r="H29" s="36"/>
      <c r="I29" s="36"/>
      <c r="J29" s="36"/>
      <c r="K29" s="36"/>
      <c r="L29" s="36"/>
      <c r="M29" s="36"/>
      <c r="N29" s="36"/>
      <c r="O29" s="36"/>
      <c r="P29" s="36"/>
    </row>
    <row r="30" spans="1:16" ht="15.75" thickBot="1" x14ac:dyDescent="0.3">
      <c r="A30" s="3" t="s">
        <v>12</v>
      </c>
      <c r="B30" s="36"/>
      <c r="C30" s="36"/>
      <c r="D30" s="36"/>
      <c r="E30" s="36"/>
      <c r="F30" s="36"/>
      <c r="G30" s="36"/>
      <c r="H30" s="36"/>
      <c r="I30" s="36"/>
      <c r="J30" s="36"/>
      <c r="K30" s="36"/>
      <c r="L30" s="36"/>
      <c r="M30" s="36"/>
      <c r="N30" s="36"/>
      <c r="O30" s="36"/>
      <c r="P30" s="36"/>
    </row>
    <row r="31" spans="1:16" ht="27.75" thickBot="1" x14ac:dyDescent="0.3">
      <c r="A31" s="4" t="s">
        <v>13</v>
      </c>
      <c r="B31" s="36"/>
      <c r="C31" s="36"/>
      <c r="D31" s="36"/>
      <c r="E31" s="36"/>
      <c r="F31" s="36"/>
      <c r="G31" s="36"/>
      <c r="H31" s="36"/>
      <c r="I31" s="36"/>
      <c r="J31" s="36"/>
      <c r="K31" s="36"/>
      <c r="L31" s="36"/>
      <c r="M31" s="36"/>
      <c r="N31" s="36"/>
      <c r="O31" s="36"/>
      <c r="P31" s="36"/>
    </row>
    <row r="32" spans="1:16" ht="15.75" thickBot="1" x14ac:dyDescent="0.3">
      <c r="A32" s="7"/>
      <c r="B32" s="37"/>
      <c r="C32" s="37"/>
      <c r="D32" s="37"/>
      <c r="E32" s="37"/>
      <c r="F32" s="37"/>
      <c r="G32" s="37"/>
      <c r="H32" s="37"/>
      <c r="I32" s="37"/>
      <c r="J32" s="37"/>
      <c r="K32" s="37"/>
      <c r="L32" s="37"/>
      <c r="M32" s="37"/>
      <c r="N32" s="37"/>
      <c r="O32" s="37"/>
      <c r="P32" s="37"/>
    </row>
    <row r="33" spans="1:16" ht="15.75" thickBot="1" x14ac:dyDescent="0.3">
      <c r="A33" s="4" t="s">
        <v>14</v>
      </c>
      <c r="B33" s="61"/>
      <c r="C33" s="61"/>
      <c r="D33" s="61"/>
      <c r="E33" s="61"/>
      <c r="F33" s="61"/>
      <c r="G33" s="61"/>
      <c r="H33" s="61"/>
      <c r="I33" s="61"/>
      <c r="J33" s="61"/>
      <c r="K33" s="61"/>
      <c r="L33" s="61">
        <v>16406.22</v>
      </c>
      <c r="M33" s="61">
        <f>SUM(482207.43+140759.53)</f>
        <v>622966.96</v>
      </c>
      <c r="N33" s="61"/>
      <c r="O33" s="61"/>
      <c r="P33" s="61"/>
    </row>
    <row r="34" spans="1:16" ht="15.75" thickBot="1" x14ac:dyDescent="0.3">
      <c r="A34" s="7"/>
      <c r="B34" s="37"/>
      <c r="C34" s="37"/>
      <c r="D34" s="37"/>
      <c r="E34" s="37"/>
      <c r="F34" s="37"/>
      <c r="G34" s="37"/>
      <c r="H34" s="37"/>
      <c r="I34" s="37"/>
      <c r="J34" s="37"/>
      <c r="K34" s="37"/>
      <c r="L34" s="37"/>
      <c r="M34" s="37"/>
      <c r="N34" s="37"/>
      <c r="O34" s="37"/>
      <c r="P34" s="37"/>
    </row>
    <row r="35" spans="1:16" ht="15.75" thickBot="1" x14ac:dyDescent="0.3">
      <c r="A35" s="4" t="s">
        <v>32</v>
      </c>
      <c r="B35" s="36"/>
      <c r="C35" s="36"/>
      <c r="D35" s="36"/>
      <c r="E35" s="36"/>
      <c r="F35" s="36"/>
      <c r="G35" s="36"/>
      <c r="H35" s="36"/>
      <c r="I35" s="36"/>
      <c r="J35" s="36"/>
      <c r="K35" s="36"/>
      <c r="L35" s="36"/>
      <c r="M35" s="36">
        <f>SUM(161562.66+336049.26+247956.84)</f>
        <v>745568.76</v>
      </c>
      <c r="N35" s="36"/>
      <c r="O35" s="36"/>
      <c r="P35" s="36"/>
    </row>
    <row r="36" spans="1:16" ht="15.75" thickBot="1" x14ac:dyDescent="0.3">
      <c r="A36" s="6"/>
      <c r="B36" s="37"/>
      <c r="C36" s="37"/>
      <c r="D36" s="37"/>
      <c r="E36" s="37"/>
      <c r="F36" s="37"/>
      <c r="G36" s="37"/>
      <c r="H36" s="37"/>
      <c r="I36" s="37"/>
      <c r="J36" s="37"/>
      <c r="K36" s="37"/>
      <c r="L36" s="37"/>
      <c r="M36" s="37"/>
      <c r="N36" s="37"/>
      <c r="O36" s="37"/>
      <c r="P36" s="37"/>
    </row>
    <row r="37" spans="1:16" ht="15.75" thickBot="1" x14ac:dyDescent="0.3">
      <c r="A37" s="8" t="s">
        <v>15</v>
      </c>
      <c r="B37" s="36"/>
      <c r="C37" s="36"/>
      <c r="D37" s="36"/>
      <c r="E37" s="36"/>
      <c r="F37" s="36"/>
      <c r="G37" s="36"/>
      <c r="H37" s="36"/>
      <c r="I37" s="36"/>
      <c r="J37" s="36"/>
      <c r="K37" s="36"/>
      <c r="L37" s="36">
        <f>SUM(L24,L26,L33)</f>
        <v>11015026.780000001</v>
      </c>
      <c r="M37" s="36">
        <f>SUM(M16, M26, M33, M35)</f>
        <v>3475011.49</v>
      </c>
      <c r="N37" s="36"/>
      <c r="O37" s="36">
        <v>6855.09</v>
      </c>
      <c r="P37" s="36"/>
    </row>
  </sheetData>
  <mergeCells count="21">
    <mergeCell ref="L1:M3"/>
    <mergeCell ref="N1:P3"/>
    <mergeCell ref="L4:M4"/>
    <mergeCell ref="N4:P4"/>
    <mergeCell ref="L5:M5"/>
    <mergeCell ref="N5:P5"/>
    <mergeCell ref="H6:I6"/>
    <mergeCell ref="J6:K6"/>
    <mergeCell ref="L6:M6"/>
    <mergeCell ref="N6:P6"/>
    <mergeCell ref="A4:A6"/>
    <mergeCell ref="B4:C6"/>
    <mergeCell ref="D4:E6"/>
    <mergeCell ref="F4:G6"/>
    <mergeCell ref="H4:I4"/>
    <mergeCell ref="A1:A3"/>
    <mergeCell ref="B1:E3"/>
    <mergeCell ref="F1:K3"/>
    <mergeCell ref="H5:I5"/>
    <mergeCell ref="J5:K5"/>
    <mergeCell ref="J4:K4"/>
  </mergeCells>
  <pageMargins left="0.7" right="0.7" top="0.75" bottom="0.75" header="0.3" footer="0.3"/>
  <pageSetup scale="65" orientation="landscape"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zoomScaleNormal="100" workbookViewId="0">
      <selection activeCell="V17" sqref="V17"/>
    </sheetView>
  </sheetViews>
  <sheetFormatPr defaultColWidth="9.140625" defaultRowHeight="15" x14ac:dyDescent="0.25"/>
  <cols>
    <col min="1" max="1" width="26.5703125" style="1" customWidth="1"/>
    <col min="2" max="11" width="9.140625" style="1"/>
    <col min="12" max="12" width="11.42578125" style="1" customWidth="1"/>
    <col min="13" max="13" width="12.7109375" style="1" customWidth="1"/>
    <col min="14" max="16384" width="9.140625" style="1"/>
  </cols>
  <sheetData>
    <row r="1" spans="1:17" x14ac:dyDescent="0.25">
      <c r="A1" s="82">
        <v>2017</v>
      </c>
      <c r="B1" s="70" t="s">
        <v>20</v>
      </c>
      <c r="C1" s="85"/>
      <c r="D1" s="85"/>
      <c r="E1" s="86"/>
      <c r="F1" s="70" t="s">
        <v>21</v>
      </c>
      <c r="G1" s="85"/>
      <c r="H1" s="85"/>
      <c r="I1" s="85"/>
      <c r="J1" s="85"/>
      <c r="K1" s="86"/>
      <c r="L1" s="70" t="s">
        <v>22</v>
      </c>
      <c r="M1" s="71"/>
      <c r="N1" s="70" t="s">
        <v>36</v>
      </c>
      <c r="O1" s="74"/>
      <c r="P1" s="75"/>
    </row>
    <row r="2" spans="1:17" ht="15" customHeight="1" x14ac:dyDescent="0.25">
      <c r="A2" s="83"/>
      <c r="B2" s="64"/>
      <c r="C2" s="87"/>
      <c r="D2" s="87"/>
      <c r="E2" s="65"/>
      <c r="F2" s="64"/>
      <c r="G2" s="87"/>
      <c r="H2" s="87"/>
      <c r="I2" s="87"/>
      <c r="J2" s="87"/>
      <c r="K2" s="65"/>
      <c r="L2" s="72"/>
      <c r="M2" s="73"/>
      <c r="N2" s="76"/>
      <c r="O2" s="77"/>
      <c r="P2" s="78"/>
    </row>
    <row r="3" spans="1:17" ht="15.75" thickBot="1" x14ac:dyDescent="0.3">
      <c r="A3" s="84"/>
      <c r="B3" s="88"/>
      <c r="C3" s="89"/>
      <c r="D3" s="89"/>
      <c r="E3" s="90"/>
      <c r="F3" s="88"/>
      <c r="G3" s="89"/>
      <c r="H3" s="89"/>
      <c r="I3" s="89"/>
      <c r="J3" s="89"/>
      <c r="K3" s="90"/>
      <c r="L3" s="72"/>
      <c r="M3" s="73"/>
      <c r="N3" s="76"/>
      <c r="O3" s="77"/>
      <c r="P3" s="78"/>
    </row>
    <row r="4" spans="1:17" x14ac:dyDescent="0.25">
      <c r="A4" s="91"/>
      <c r="B4" s="93" t="s">
        <v>17</v>
      </c>
      <c r="C4" s="94"/>
      <c r="D4" s="93" t="s">
        <v>23</v>
      </c>
      <c r="E4" s="94"/>
      <c r="F4" s="93" t="s">
        <v>17</v>
      </c>
      <c r="G4" s="94"/>
      <c r="H4" s="93" t="s">
        <v>18</v>
      </c>
      <c r="I4" s="94"/>
      <c r="J4" s="93" t="s">
        <v>0</v>
      </c>
      <c r="K4" s="94"/>
      <c r="L4" s="64"/>
      <c r="M4" s="65"/>
      <c r="N4" s="66"/>
      <c r="O4" s="79"/>
      <c r="P4" s="67"/>
    </row>
    <row r="5" spans="1:17" x14ac:dyDescent="0.25">
      <c r="A5" s="91"/>
      <c r="B5" s="93"/>
      <c r="C5" s="94"/>
      <c r="D5" s="93"/>
      <c r="E5" s="94"/>
      <c r="F5" s="93"/>
      <c r="G5" s="94"/>
      <c r="H5" s="93" t="s">
        <v>19</v>
      </c>
      <c r="I5" s="94"/>
      <c r="J5" s="93" t="s">
        <v>24</v>
      </c>
      <c r="K5" s="94"/>
      <c r="L5" s="66"/>
      <c r="M5" s="67"/>
      <c r="N5" s="66"/>
      <c r="O5" s="80"/>
      <c r="P5" s="67"/>
    </row>
    <row r="6" spans="1:17" ht="15.75" thickBot="1" x14ac:dyDescent="0.3">
      <c r="A6" s="92"/>
      <c r="B6" s="62"/>
      <c r="C6" s="63"/>
      <c r="D6" s="62"/>
      <c r="E6" s="63"/>
      <c r="F6" s="62"/>
      <c r="G6" s="63"/>
      <c r="H6" s="68"/>
      <c r="I6" s="69"/>
      <c r="J6" s="62" t="s">
        <v>25</v>
      </c>
      <c r="K6" s="63"/>
      <c r="L6" s="68"/>
      <c r="M6" s="69"/>
      <c r="N6" s="68"/>
      <c r="O6" s="81"/>
      <c r="P6" s="69"/>
    </row>
    <row r="7" spans="1:17" s="5" customFormat="1" ht="16.5" thickBot="1" x14ac:dyDescent="0.3">
      <c r="A7" s="2"/>
      <c r="B7" s="9" t="s">
        <v>1</v>
      </c>
      <c r="C7" s="10" t="s">
        <v>2</v>
      </c>
      <c r="D7" s="9" t="s">
        <v>1</v>
      </c>
      <c r="E7" s="10" t="s">
        <v>2</v>
      </c>
      <c r="F7" s="9" t="s">
        <v>1</v>
      </c>
      <c r="G7" s="10" t="s">
        <v>2</v>
      </c>
      <c r="H7" s="9" t="s">
        <v>1</v>
      </c>
      <c r="I7" s="10" t="s">
        <v>2</v>
      </c>
      <c r="J7" s="9" t="s">
        <v>1</v>
      </c>
      <c r="K7" s="10" t="s">
        <v>2</v>
      </c>
      <c r="L7" s="9" t="s">
        <v>1</v>
      </c>
      <c r="M7" s="10" t="s">
        <v>2</v>
      </c>
      <c r="N7" s="9" t="s">
        <v>1</v>
      </c>
      <c r="O7" s="10" t="s">
        <v>2</v>
      </c>
      <c r="P7" s="11" t="s">
        <v>3</v>
      </c>
    </row>
    <row r="8" spans="1:17" ht="15.75" thickBot="1" x14ac:dyDescent="0.3">
      <c r="A8" s="3" t="s">
        <v>38</v>
      </c>
      <c r="B8" s="36"/>
      <c r="C8" s="36"/>
      <c r="D8" s="36"/>
      <c r="E8" s="36"/>
      <c r="F8" s="36"/>
      <c r="G8" s="36"/>
      <c r="H8" s="38"/>
      <c r="I8" s="36"/>
      <c r="J8" s="36"/>
      <c r="K8" s="36"/>
      <c r="L8" s="36">
        <v>10671.02</v>
      </c>
      <c r="M8" s="36">
        <f>SUM(212351.05+110945.84+124811.4)</f>
        <v>448108.29000000004</v>
      </c>
      <c r="N8" s="36"/>
      <c r="O8" s="36"/>
      <c r="P8" s="36"/>
    </row>
    <row r="9" spans="1:17" ht="15.75" thickBot="1" x14ac:dyDescent="0.3">
      <c r="A9" s="3" t="s">
        <v>37</v>
      </c>
      <c r="B9" s="36"/>
      <c r="C9" s="36"/>
      <c r="D9" s="36"/>
      <c r="E9" s="36"/>
      <c r="F9" s="36"/>
      <c r="G9" s="36"/>
      <c r="H9" s="36"/>
      <c r="I9" s="36"/>
      <c r="J9" s="36"/>
      <c r="K9" s="36"/>
      <c r="L9" s="36"/>
      <c r="M9" s="36">
        <f>SUM(46167.16+10352.52+24962.28)</f>
        <v>81481.960000000006</v>
      </c>
      <c r="N9" s="36"/>
      <c r="O9" s="36" t="s">
        <v>58</v>
      </c>
      <c r="P9" s="36"/>
      <c r="Q9" s="1" t="s">
        <v>56</v>
      </c>
    </row>
    <row r="10" spans="1:17" ht="15.75" thickBot="1" x14ac:dyDescent="0.3">
      <c r="A10" s="3" t="s">
        <v>39</v>
      </c>
      <c r="B10" s="36"/>
      <c r="C10" s="36"/>
      <c r="D10" s="36"/>
      <c r="E10" s="36"/>
      <c r="F10" s="36"/>
      <c r="G10" s="36"/>
      <c r="H10" s="36"/>
      <c r="I10" s="36"/>
      <c r="J10" s="36"/>
      <c r="K10" s="36"/>
      <c r="L10" s="36"/>
      <c r="M10" s="36">
        <v>18956.68</v>
      </c>
      <c r="N10" s="36"/>
      <c r="O10" s="36"/>
      <c r="P10" s="36"/>
    </row>
    <row r="11" spans="1:17" ht="15.75" thickBot="1" x14ac:dyDescent="0.3">
      <c r="A11" s="3" t="s">
        <v>29</v>
      </c>
      <c r="B11" s="36"/>
      <c r="C11" s="36"/>
      <c r="D11" s="36"/>
      <c r="E11" s="36"/>
      <c r="F11" s="36"/>
      <c r="G11" s="36"/>
      <c r="H11" s="36"/>
      <c r="I11" s="36"/>
      <c r="J11" s="36"/>
      <c r="K11" s="36"/>
      <c r="L11" s="36"/>
      <c r="M11" s="36"/>
      <c r="N11" s="36"/>
      <c r="O11" s="36"/>
      <c r="P11" s="36"/>
    </row>
    <row r="12" spans="1:17" ht="15.75" thickBot="1" x14ac:dyDescent="0.3">
      <c r="A12" s="3" t="s">
        <v>4</v>
      </c>
      <c r="B12" s="36"/>
      <c r="C12" s="36"/>
      <c r="D12" s="36"/>
      <c r="E12" s="36"/>
      <c r="F12" s="36"/>
      <c r="G12" s="36"/>
      <c r="H12" s="36"/>
      <c r="I12" s="36"/>
      <c r="J12" s="36"/>
      <c r="K12" s="36"/>
      <c r="L12" s="36"/>
      <c r="M12" s="36">
        <f>SUM(9202.53+170.2)</f>
        <v>9372.7300000000014</v>
      </c>
      <c r="N12" s="36"/>
      <c r="O12" s="36"/>
      <c r="P12" s="36"/>
    </row>
    <row r="13" spans="1:17" ht="15.75" thickBot="1" x14ac:dyDescent="0.3">
      <c r="A13" s="3" t="s">
        <v>40</v>
      </c>
      <c r="B13" s="36"/>
      <c r="C13" s="36"/>
      <c r="D13" s="36"/>
      <c r="E13" s="36"/>
      <c r="F13" s="36"/>
      <c r="G13" s="36"/>
      <c r="H13" s="36"/>
      <c r="I13" s="36"/>
      <c r="J13" s="36"/>
      <c r="K13" s="36"/>
      <c r="L13" s="36"/>
      <c r="M13" s="36">
        <f>SUM(105491.15+15428.49+24962.28)</f>
        <v>145881.91999999998</v>
      </c>
      <c r="N13" s="36"/>
      <c r="O13" s="36" t="s">
        <v>60</v>
      </c>
      <c r="P13" s="36"/>
      <c r="Q13" s="1" t="s">
        <v>56</v>
      </c>
    </row>
    <row r="14" spans="1:17" ht="15.75" thickBot="1" x14ac:dyDescent="0.3">
      <c r="A14" s="3" t="s">
        <v>5</v>
      </c>
      <c r="B14" s="36"/>
      <c r="C14" s="36"/>
      <c r="D14" s="36"/>
      <c r="E14" s="36"/>
      <c r="F14" s="36"/>
      <c r="G14" s="36"/>
      <c r="H14" s="36"/>
      <c r="I14" s="36"/>
      <c r="J14" s="36"/>
      <c r="K14" s="36"/>
      <c r="L14" s="36"/>
      <c r="M14" s="36"/>
      <c r="N14" s="36"/>
      <c r="O14" s="36"/>
      <c r="P14" s="36"/>
    </row>
    <row r="15" spans="1:17" ht="15.75" thickBot="1" x14ac:dyDescent="0.3">
      <c r="A15" s="3" t="s">
        <v>6</v>
      </c>
      <c r="B15" s="36"/>
      <c r="C15" s="36"/>
      <c r="D15" s="36"/>
      <c r="E15" s="36"/>
      <c r="F15" s="36"/>
      <c r="G15" s="36"/>
      <c r="H15" s="36"/>
      <c r="I15" s="36"/>
      <c r="J15" s="36"/>
      <c r="K15" s="36"/>
      <c r="L15" s="36"/>
      <c r="M15" s="36">
        <f>SUM(95789.67+12846.77)</f>
        <v>108636.44</v>
      </c>
      <c r="N15" s="36"/>
      <c r="O15" s="36" t="s">
        <v>59</v>
      </c>
      <c r="P15" s="36"/>
      <c r="Q15" s="1" t="s">
        <v>56</v>
      </c>
    </row>
    <row r="16" spans="1:17" ht="15.75" thickBot="1" x14ac:dyDescent="0.3">
      <c r="A16" s="4" t="s">
        <v>7</v>
      </c>
      <c r="B16" s="36"/>
      <c r="C16" s="36"/>
      <c r="D16" s="36"/>
      <c r="E16" s="36"/>
      <c r="F16" s="36"/>
      <c r="G16" s="36"/>
      <c r="H16" s="36"/>
      <c r="I16" s="36"/>
      <c r="J16" s="36"/>
      <c r="K16" s="36"/>
      <c r="L16" s="36"/>
      <c r="M16" s="36">
        <f>SUM(M8:M15)</f>
        <v>812438.02</v>
      </c>
      <c r="N16" s="36"/>
      <c r="O16" s="36">
        <v>1400.93</v>
      </c>
      <c r="P16" s="36"/>
    </row>
    <row r="17" spans="1:16" ht="15.75" thickBot="1" x14ac:dyDescent="0.3">
      <c r="A17" s="6"/>
      <c r="B17" s="37"/>
      <c r="C17" s="37"/>
      <c r="D17" s="37"/>
      <c r="E17" s="37"/>
      <c r="F17" s="37"/>
      <c r="G17" s="37"/>
      <c r="H17" s="37"/>
      <c r="I17" s="37"/>
      <c r="J17" s="37"/>
      <c r="K17" s="37"/>
      <c r="L17" s="37"/>
      <c r="M17" s="37"/>
      <c r="N17" s="37"/>
      <c r="O17" s="37"/>
      <c r="P17" s="37"/>
    </row>
    <row r="18" spans="1:16" ht="15.75" thickBot="1" x14ac:dyDescent="0.3">
      <c r="A18" s="3" t="s">
        <v>8</v>
      </c>
      <c r="B18" s="36"/>
      <c r="C18" s="36"/>
      <c r="D18" s="36"/>
      <c r="E18" s="36"/>
      <c r="F18" s="36"/>
      <c r="G18" s="36"/>
      <c r="H18" s="36"/>
      <c r="I18" s="36"/>
      <c r="J18" s="36"/>
      <c r="K18" s="36"/>
      <c r="L18" s="36">
        <f>SUM(859575.01+219128.23+424358.76)</f>
        <v>1503062</v>
      </c>
      <c r="M18" s="36"/>
      <c r="N18" s="36"/>
      <c r="O18" s="36"/>
      <c r="P18" s="36"/>
    </row>
    <row r="19" spans="1:16" ht="15.75" thickBot="1" x14ac:dyDescent="0.3">
      <c r="A19" s="3" t="s">
        <v>27</v>
      </c>
      <c r="B19" s="36"/>
      <c r="C19" s="36"/>
      <c r="D19" s="36"/>
      <c r="E19" s="36"/>
      <c r="F19" s="36"/>
      <c r="G19" s="36"/>
      <c r="H19" s="36"/>
      <c r="I19" s="36"/>
      <c r="J19" s="36"/>
      <c r="K19" s="36"/>
      <c r="L19" s="36">
        <f>SUM(845057.45+362204.38+499245.6)</f>
        <v>1706507.4300000002</v>
      </c>
      <c r="M19" s="36"/>
      <c r="N19" s="36"/>
      <c r="O19" s="36"/>
      <c r="P19" s="36"/>
    </row>
    <row r="20" spans="1:16" ht="15.75" thickBot="1" x14ac:dyDescent="0.3">
      <c r="A20" s="3" t="s">
        <v>28</v>
      </c>
      <c r="B20" s="36"/>
      <c r="C20" s="36"/>
      <c r="D20" s="36"/>
      <c r="E20" s="36"/>
      <c r="F20" s="36"/>
      <c r="G20" s="36"/>
      <c r="H20" s="36"/>
      <c r="I20" s="36"/>
      <c r="J20" s="36"/>
      <c r="K20" s="36"/>
      <c r="L20" s="36">
        <f>SUM(3021866.87+1230837.67+1223151.72)</f>
        <v>5475856.2599999998</v>
      </c>
      <c r="M20" s="36"/>
      <c r="N20" s="36"/>
      <c r="O20" s="36"/>
      <c r="P20" s="36"/>
    </row>
    <row r="21" spans="1:16" ht="15.75" thickBot="1" x14ac:dyDescent="0.3">
      <c r="A21" s="3" t="s">
        <v>26</v>
      </c>
      <c r="B21" s="36"/>
      <c r="C21" s="36"/>
      <c r="D21" s="36"/>
      <c r="E21" s="36"/>
      <c r="F21" s="36"/>
      <c r="G21" s="36"/>
      <c r="H21" s="36"/>
      <c r="I21" s="36"/>
      <c r="J21" s="36"/>
      <c r="K21" s="36"/>
      <c r="L21" s="36"/>
      <c r="M21" s="36"/>
      <c r="N21" s="36"/>
      <c r="O21" s="36"/>
      <c r="P21" s="36"/>
    </row>
    <row r="22" spans="1:16" ht="15.75" thickBot="1" x14ac:dyDescent="0.3">
      <c r="A22" s="3" t="s">
        <v>29</v>
      </c>
      <c r="B22" s="36"/>
      <c r="C22" s="36"/>
      <c r="D22" s="36"/>
      <c r="E22" s="36"/>
      <c r="F22" s="36"/>
      <c r="G22" s="36"/>
      <c r="H22" s="36"/>
      <c r="I22" s="36"/>
      <c r="J22" s="36"/>
      <c r="K22" s="36"/>
      <c r="L22" s="36"/>
      <c r="M22" s="36"/>
      <c r="N22" s="36"/>
      <c r="O22" s="36"/>
      <c r="P22" s="36"/>
    </row>
    <row r="23" spans="1:16" ht="15.75" thickBot="1" x14ac:dyDescent="0.3">
      <c r="A23" s="3" t="s">
        <v>30</v>
      </c>
      <c r="B23" s="36"/>
      <c r="C23" s="36"/>
      <c r="D23" s="36"/>
      <c r="E23" s="36"/>
      <c r="F23" s="36"/>
      <c r="G23" s="36"/>
      <c r="H23" s="36"/>
      <c r="I23" s="36"/>
      <c r="J23" s="36"/>
      <c r="K23" s="36"/>
      <c r="L23" s="36">
        <f>SUM(325387.41+195266.55+174735.96)</f>
        <v>695389.91999999993</v>
      </c>
      <c r="M23" s="36"/>
      <c r="N23" s="36"/>
      <c r="O23" s="36"/>
      <c r="P23" s="36"/>
    </row>
    <row r="24" spans="1:16" ht="15.75" thickBot="1" x14ac:dyDescent="0.3">
      <c r="A24" s="4" t="s">
        <v>9</v>
      </c>
      <c r="B24" s="36"/>
      <c r="C24" s="36"/>
      <c r="D24" s="36"/>
      <c r="E24" s="36"/>
      <c r="F24" s="36"/>
      <c r="G24" s="36"/>
      <c r="H24" s="36"/>
      <c r="I24" s="36"/>
      <c r="J24" s="36"/>
      <c r="K24" s="36"/>
      <c r="L24" s="36">
        <f>SUM(L18:L23)</f>
        <v>9380815.6099999994</v>
      </c>
      <c r="M24" s="36"/>
      <c r="N24" s="36"/>
      <c r="O24" s="36"/>
      <c r="P24" s="36"/>
    </row>
    <row r="25" spans="1:16" ht="15.75" thickBot="1" x14ac:dyDescent="0.3">
      <c r="A25" s="6"/>
      <c r="B25" s="37"/>
      <c r="C25" s="37"/>
      <c r="D25" s="37"/>
      <c r="E25" s="37"/>
      <c r="F25" s="37"/>
      <c r="G25" s="37"/>
      <c r="H25" s="37"/>
      <c r="I25" s="37"/>
      <c r="J25" s="37"/>
      <c r="K25" s="37"/>
      <c r="L25" s="37"/>
      <c r="M25" s="37"/>
      <c r="N25" s="37"/>
      <c r="O25" s="37"/>
      <c r="P25" s="37"/>
    </row>
    <row r="26" spans="1:16" ht="15.75" thickBot="1" x14ac:dyDescent="0.3">
      <c r="A26" s="4" t="s">
        <v>31</v>
      </c>
      <c r="B26" s="36"/>
      <c r="C26" s="36"/>
      <c r="D26" s="36"/>
      <c r="E26" s="36"/>
      <c r="F26" s="36"/>
      <c r="G26" s="36"/>
      <c r="H26" s="36"/>
      <c r="I26" s="36"/>
      <c r="J26" s="36"/>
      <c r="K26" s="36"/>
      <c r="L26" s="36">
        <f>SUM(1171860.46+458899.63+389380.95)</f>
        <v>2020141.0399999998</v>
      </c>
      <c r="M26" s="36">
        <f>SUM(646290.66+540636.5+354843.55)</f>
        <v>1541770.7100000002</v>
      </c>
      <c r="N26" s="36"/>
      <c r="O26" s="36"/>
      <c r="P26" s="36"/>
    </row>
    <row r="27" spans="1:16" ht="15.75" thickBot="1" x14ac:dyDescent="0.3">
      <c r="A27" s="6"/>
      <c r="B27" s="37"/>
      <c r="C27" s="37"/>
      <c r="D27" s="37"/>
      <c r="E27" s="37"/>
      <c r="F27" s="37"/>
      <c r="G27" s="37"/>
      <c r="H27" s="37"/>
      <c r="I27" s="37"/>
      <c r="J27" s="37"/>
      <c r="K27" s="37"/>
      <c r="L27" s="37"/>
      <c r="M27" s="37"/>
      <c r="N27" s="37"/>
      <c r="O27" s="37"/>
      <c r="P27" s="37"/>
    </row>
    <row r="28" spans="1:16" ht="15.75" thickBot="1" x14ac:dyDescent="0.3">
      <c r="A28" s="3" t="s">
        <v>10</v>
      </c>
      <c r="B28" s="36"/>
      <c r="C28" s="36"/>
      <c r="D28" s="36"/>
      <c r="E28" s="36"/>
      <c r="F28" s="36"/>
      <c r="G28" s="36"/>
      <c r="H28" s="36"/>
      <c r="I28" s="36"/>
      <c r="J28" s="36"/>
      <c r="K28" s="36"/>
      <c r="L28" s="36"/>
      <c r="M28" s="36"/>
      <c r="N28" s="36"/>
      <c r="O28" s="36"/>
      <c r="P28" s="36"/>
    </row>
    <row r="29" spans="1:16" ht="15.75" thickBot="1" x14ac:dyDescent="0.3">
      <c r="A29" s="3" t="s">
        <v>11</v>
      </c>
      <c r="B29" s="36"/>
      <c r="C29" s="36"/>
      <c r="D29" s="36"/>
      <c r="E29" s="36"/>
      <c r="F29" s="36"/>
      <c r="G29" s="36"/>
      <c r="H29" s="36"/>
      <c r="I29" s="36"/>
      <c r="J29" s="36"/>
      <c r="K29" s="36"/>
      <c r="L29" s="36"/>
      <c r="M29" s="36"/>
      <c r="N29" s="36"/>
      <c r="O29" s="36"/>
      <c r="P29" s="36"/>
    </row>
    <row r="30" spans="1:16" ht="15.75" thickBot="1" x14ac:dyDescent="0.3">
      <c r="A30" s="3" t="s">
        <v>12</v>
      </c>
      <c r="B30" s="36"/>
      <c r="C30" s="36"/>
      <c r="D30" s="36"/>
      <c r="E30" s="36"/>
      <c r="F30" s="36"/>
      <c r="G30" s="36"/>
      <c r="H30" s="36"/>
      <c r="I30" s="36"/>
      <c r="J30" s="36"/>
      <c r="K30" s="36"/>
      <c r="L30" s="36"/>
      <c r="M30" s="36"/>
      <c r="N30" s="36"/>
      <c r="O30" s="36"/>
      <c r="P30" s="36"/>
    </row>
    <row r="31" spans="1:16" ht="27.75" thickBot="1" x14ac:dyDescent="0.3">
      <c r="A31" s="4" t="s">
        <v>13</v>
      </c>
      <c r="B31" s="36"/>
      <c r="C31" s="36"/>
      <c r="D31" s="36"/>
      <c r="E31" s="36"/>
      <c r="F31" s="36"/>
      <c r="G31" s="36"/>
      <c r="H31" s="36"/>
      <c r="I31" s="36"/>
      <c r="J31" s="36"/>
      <c r="K31" s="36"/>
      <c r="L31" s="36"/>
      <c r="M31" s="36"/>
      <c r="N31" s="36"/>
      <c r="O31" s="36"/>
      <c r="P31" s="36"/>
    </row>
    <row r="32" spans="1:16" ht="15.75" thickBot="1" x14ac:dyDescent="0.3">
      <c r="A32" s="7"/>
      <c r="B32" s="37"/>
      <c r="C32" s="37"/>
      <c r="D32" s="37"/>
      <c r="E32" s="37"/>
      <c r="F32" s="37"/>
      <c r="G32" s="37"/>
      <c r="H32" s="37"/>
      <c r="I32" s="37"/>
      <c r="J32" s="37"/>
      <c r="K32" s="37"/>
      <c r="L32" s="37"/>
      <c r="M32" s="37"/>
      <c r="N32" s="37"/>
      <c r="O32" s="37"/>
      <c r="P32" s="37"/>
    </row>
    <row r="33" spans="1:17" ht="15.75" thickBot="1" x14ac:dyDescent="0.3">
      <c r="A33" s="4" t="s">
        <v>14</v>
      </c>
      <c r="B33" s="61"/>
      <c r="C33" s="61"/>
      <c r="D33" s="61"/>
      <c r="E33" s="61"/>
      <c r="F33" s="61"/>
      <c r="G33" s="61"/>
      <c r="H33" s="61"/>
      <c r="I33" s="61"/>
      <c r="J33" s="61"/>
      <c r="K33" s="61"/>
      <c r="L33" s="61">
        <v>19859.900000000001</v>
      </c>
      <c r="M33" s="61">
        <f>SUM(620621.02+60962.84)</f>
        <v>681583.86</v>
      </c>
      <c r="N33" s="61" t="s">
        <v>57</v>
      </c>
      <c r="O33" s="61"/>
      <c r="P33" s="61"/>
      <c r="Q33" s="1" t="s">
        <v>56</v>
      </c>
    </row>
    <row r="34" spans="1:17" ht="15.75" thickBot="1" x14ac:dyDescent="0.3">
      <c r="A34" s="7"/>
      <c r="B34" s="37"/>
      <c r="C34" s="37"/>
      <c r="D34" s="37"/>
      <c r="E34" s="37"/>
      <c r="F34" s="37"/>
      <c r="G34" s="37"/>
      <c r="H34" s="37"/>
      <c r="I34" s="37"/>
      <c r="J34" s="37"/>
      <c r="K34" s="37"/>
      <c r="L34" s="37"/>
      <c r="M34" s="37"/>
      <c r="N34" s="37"/>
      <c r="O34" s="37"/>
      <c r="P34" s="37"/>
    </row>
    <row r="35" spans="1:17" ht="15.75" thickBot="1" x14ac:dyDescent="0.3">
      <c r="A35" s="4" t="s">
        <v>32</v>
      </c>
      <c r="B35" s="36"/>
      <c r="C35" s="36"/>
      <c r="D35" s="36"/>
      <c r="E35" s="36"/>
      <c r="F35" s="36"/>
      <c r="G35" s="36"/>
      <c r="H35" s="36"/>
      <c r="I35" s="36"/>
      <c r="J35" s="36"/>
      <c r="K35" s="36"/>
      <c r="L35" s="36"/>
      <c r="M35" s="36">
        <f>SUM(200176.73+187441.41+60195.87)</f>
        <v>447814.01</v>
      </c>
      <c r="N35" s="36"/>
      <c r="O35" s="36"/>
      <c r="P35" s="36"/>
    </row>
    <row r="36" spans="1:17" ht="15.75" thickBot="1" x14ac:dyDescent="0.3">
      <c r="A36" s="6"/>
      <c r="B36" s="37"/>
      <c r="C36" s="37"/>
      <c r="D36" s="37"/>
      <c r="E36" s="37"/>
      <c r="F36" s="37"/>
      <c r="G36" s="37"/>
      <c r="H36" s="37"/>
      <c r="I36" s="37"/>
      <c r="J36" s="37"/>
      <c r="K36" s="37"/>
      <c r="L36" s="37"/>
      <c r="M36" s="37"/>
      <c r="N36" s="37"/>
      <c r="O36" s="37"/>
      <c r="P36" s="37"/>
    </row>
    <row r="37" spans="1:17" ht="15.75" thickBot="1" x14ac:dyDescent="0.3">
      <c r="A37" s="8" t="s">
        <v>15</v>
      </c>
      <c r="B37" s="36"/>
      <c r="C37" s="36"/>
      <c r="D37" s="36"/>
      <c r="E37" s="36"/>
      <c r="F37" s="36"/>
      <c r="G37" s="36"/>
      <c r="H37" s="36"/>
      <c r="I37" s="36"/>
      <c r="J37" s="36"/>
      <c r="K37" s="36"/>
      <c r="L37" s="36">
        <f>SUM(L24,L26,L33)</f>
        <v>11420816.549999999</v>
      </c>
      <c r="M37" s="36">
        <f>SUM(M16, M26, M33, M35)</f>
        <v>3483606.6000000006</v>
      </c>
      <c r="N37" s="36">
        <v>2317</v>
      </c>
      <c r="O37" s="36">
        <v>1400.93</v>
      </c>
      <c r="P37" s="36"/>
    </row>
  </sheetData>
  <mergeCells count="21">
    <mergeCell ref="J6:K6"/>
    <mergeCell ref="L6:M6"/>
    <mergeCell ref="N6:P6"/>
    <mergeCell ref="J4:K4"/>
    <mergeCell ref="L4:M4"/>
    <mergeCell ref="N4:P4"/>
    <mergeCell ref="J5:K5"/>
    <mergeCell ref="L5:M5"/>
    <mergeCell ref="N5:P5"/>
    <mergeCell ref="A1:A3"/>
    <mergeCell ref="B1:E3"/>
    <mergeCell ref="F1:K3"/>
    <mergeCell ref="L1:M3"/>
    <mergeCell ref="N1:P3"/>
    <mergeCell ref="A4:A6"/>
    <mergeCell ref="B4:C6"/>
    <mergeCell ref="D4:E6"/>
    <mergeCell ref="F4:G6"/>
    <mergeCell ref="H4:I4"/>
    <mergeCell ref="H6:I6"/>
    <mergeCell ref="H5:I5"/>
  </mergeCells>
  <pageMargins left="0.7" right="0.7" top="0.75" bottom="0.75" header="0.3" footer="0.3"/>
  <pageSetup scale="65" orientation="landscape" horizontalDpi="4294967294" vertic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0"/>
  <sheetViews>
    <sheetView zoomScaleNormal="100" workbookViewId="0">
      <selection activeCell="AA36" sqref="AA36"/>
    </sheetView>
  </sheetViews>
  <sheetFormatPr defaultColWidth="9.140625" defaultRowHeight="15" x14ac:dyDescent="0.25"/>
  <cols>
    <col min="1" max="1" width="4.85546875" style="1" customWidth="1"/>
    <col min="2" max="2" width="26.5703125" style="1" customWidth="1"/>
    <col min="3" max="6" width="9.140625" style="1"/>
    <col min="7" max="7" width="10" style="1" bestFit="1" customWidth="1"/>
    <col min="8" max="10" width="9.140625" style="1"/>
    <col min="11" max="11" width="10" style="1" bestFit="1" customWidth="1"/>
    <col min="12" max="12" width="9.140625" style="1"/>
    <col min="13" max="13" width="12.42578125" style="1" bestFit="1" customWidth="1"/>
    <col min="14" max="14" width="11.42578125" style="1" bestFit="1" customWidth="1"/>
    <col min="15" max="16384" width="9.140625" style="1"/>
  </cols>
  <sheetData>
    <row r="1" spans="2:18" ht="19.5" x14ac:dyDescent="0.3">
      <c r="B1" s="20" t="s">
        <v>50</v>
      </c>
    </row>
    <row r="3" spans="2:18" ht="15.75" thickBot="1" x14ac:dyDescent="0.3"/>
    <row r="4" spans="2:18" ht="15" customHeight="1" x14ac:dyDescent="0.25">
      <c r="B4" s="109">
        <v>2018</v>
      </c>
      <c r="C4" s="100" t="s">
        <v>20</v>
      </c>
      <c r="D4" s="106"/>
      <c r="E4" s="106"/>
      <c r="F4" s="101"/>
      <c r="G4" s="100" t="s">
        <v>21</v>
      </c>
      <c r="H4" s="106"/>
      <c r="I4" s="106"/>
      <c r="J4" s="106"/>
      <c r="K4" s="106"/>
      <c r="L4" s="101"/>
      <c r="M4" s="100" t="s">
        <v>22</v>
      </c>
      <c r="N4" s="101"/>
      <c r="O4" s="100" t="s">
        <v>36</v>
      </c>
      <c r="P4" s="106"/>
      <c r="Q4" s="101"/>
    </row>
    <row r="5" spans="2:18" ht="15" customHeight="1" x14ac:dyDescent="0.25">
      <c r="B5" s="110"/>
      <c r="C5" s="102"/>
      <c r="D5" s="107"/>
      <c r="E5" s="107"/>
      <c r="F5" s="103"/>
      <c r="G5" s="102"/>
      <c r="H5" s="107"/>
      <c r="I5" s="107"/>
      <c r="J5" s="107"/>
      <c r="K5" s="107"/>
      <c r="L5" s="103"/>
      <c r="M5" s="102"/>
      <c r="N5" s="103"/>
      <c r="O5" s="102"/>
      <c r="P5" s="107"/>
      <c r="Q5" s="103"/>
    </row>
    <row r="6" spans="2:18" ht="15.75" thickBot="1" x14ac:dyDescent="0.3">
      <c r="B6" s="110"/>
      <c r="C6" s="102"/>
      <c r="D6" s="107"/>
      <c r="E6" s="107"/>
      <c r="F6" s="103"/>
      <c r="G6" s="102"/>
      <c r="H6" s="107"/>
      <c r="I6" s="107"/>
      <c r="J6" s="107"/>
      <c r="K6" s="107"/>
      <c r="L6" s="103"/>
      <c r="M6" s="102"/>
      <c r="N6" s="103"/>
      <c r="O6" s="102"/>
      <c r="P6" s="107"/>
      <c r="Q6" s="103"/>
    </row>
    <row r="7" spans="2:18" ht="15" customHeight="1" x14ac:dyDescent="0.25">
      <c r="B7" s="110"/>
      <c r="C7" s="111" t="s">
        <v>17</v>
      </c>
      <c r="D7" s="75"/>
      <c r="E7" s="111" t="s">
        <v>23</v>
      </c>
      <c r="F7" s="75"/>
      <c r="G7" s="111" t="s">
        <v>17</v>
      </c>
      <c r="H7" s="75"/>
      <c r="I7" s="111" t="s">
        <v>51</v>
      </c>
      <c r="J7" s="75"/>
      <c r="K7" s="111" t="s">
        <v>52</v>
      </c>
      <c r="L7" s="75"/>
      <c r="M7" s="102"/>
      <c r="N7" s="103"/>
      <c r="O7" s="102"/>
      <c r="P7" s="107"/>
      <c r="Q7" s="103"/>
    </row>
    <row r="8" spans="2:18" ht="15" customHeight="1" x14ac:dyDescent="0.25">
      <c r="B8" s="110"/>
      <c r="C8" s="76"/>
      <c r="D8" s="78"/>
      <c r="E8" s="76"/>
      <c r="F8" s="78"/>
      <c r="G8" s="76"/>
      <c r="H8" s="78"/>
      <c r="I8" s="76"/>
      <c r="J8" s="78"/>
      <c r="K8" s="76"/>
      <c r="L8" s="78"/>
      <c r="M8" s="102"/>
      <c r="N8" s="103"/>
      <c r="O8" s="102"/>
      <c r="P8" s="107"/>
      <c r="Q8" s="103"/>
    </row>
    <row r="9" spans="2:18" ht="15.75" thickBot="1" x14ac:dyDescent="0.3">
      <c r="B9" s="110"/>
      <c r="C9" s="112"/>
      <c r="D9" s="113"/>
      <c r="E9" s="112"/>
      <c r="F9" s="113"/>
      <c r="G9" s="112"/>
      <c r="H9" s="113"/>
      <c r="I9" s="112"/>
      <c r="J9" s="113"/>
      <c r="K9" s="112"/>
      <c r="L9" s="113"/>
      <c r="M9" s="104"/>
      <c r="N9" s="105"/>
      <c r="O9" s="104"/>
      <c r="P9" s="108"/>
      <c r="Q9" s="105"/>
    </row>
    <row r="10" spans="2:18" s="5" customFormat="1" ht="15.75" thickBot="1" x14ac:dyDescent="0.3">
      <c r="B10" s="110"/>
      <c r="C10" s="29" t="s">
        <v>1</v>
      </c>
      <c r="D10" s="30" t="s">
        <v>2</v>
      </c>
      <c r="E10" s="31" t="s">
        <v>1</v>
      </c>
      <c r="F10" s="30" t="s">
        <v>2</v>
      </c>
      <c r="G10" s="31" t="s">
        <v>1</v>
      </c>
      <c r="H10" s="33" t="s">
        <v>2</v>
      </c>
      <c r="I10" s="21" t="s">
        <v>1</v>
      </c>
      <c r="J10" s="22" t="s">
        <v>2</v>
      </c>
      <c r="K10" s="21" t="s">
        <v>1</v>
      </c>
      <c r="L10" s="30" t="s">
        <v>2</v>
      </c>
      <c r="M10" s="29" t="s">
        <v>1</v>
      </c>
      <c r="N10" s="30" t="s">
        <v>2</v>
      </c>
      <c r="O10" s="29" t="s">
        <v>1</v>
      </c>
      <c r="P10" s="22" t="s">
        <v>2</v>
      </c>
      <c r="Q10" s="32" t="s">
        <v>3</v>
      </c>
    </row>
    <row r="11" spans="2:18" x14ac:dyDescent="0.25">
      <c r="B11" s="28" t="s">
        <v>38</v>
      </c>
      <c r="C11" s="39"/>
      <c r="D11" s="40"/>
      <c r="E11" s="40"/>
      <c r="F11" s="41"/>
      <c r="G11" s="42"/>
      <c r="H11" s="43"/>
      <c r="I11" s="44"/>
      <c r="J11" s="40"/>
      <c r="K11" s="40"/>
      <c r="L11" s="41"/>
      <c r="M11" s="39">
        <v>12149.15</v>
      </c>
      <c r="N11" s="41">
        <f>SUM(274744.58+170355.35)</f>
        <v>445099.93000000005</v>
      </c>
      <c r="O11" s="39" t="s">
        <v>61</v>
      </c>
      <c r="P11" s="40"/>
      <c r="Q11" s="41"/>
      <c r="R11" s="1" t="s">
        <v>56</v>
      </c>
    </row>
    <row r="12" spans="2:18" x14ac:dyDescent="0.25">
      <c r="B12" s="23" t="s">
        <v>37</v>
      </c>
      <c r="C12" s="45"/>
      <c r="D12" s="46"/>
      <c r="E12" s="46"/>
      <c r="F12" s="47"/>
      <c r="G12" s="45"/>
      <c r="H12" s="46"/>
      <c r="I12" s="46"/>
      <c r="J12" s="46"/>
      <c r="K12" s="46"/>
      <c r="L12" s="47"/>
      <c r="M12" s="45"/>
      <c r="N12" s="47">
        <f>SUM(18053.6+79080.67)</f>
        <v>97134.26999999999</v>
      </c>
      <c r="O12" s="48"/>
      <c r="P12" s="46" t="s">
        <v>64</v>
      </c>
      <c r="Q12" s="47"/>
      <c r="R12" s="1" t="s">
        <v>56</v>
      </c>
    </row>
    <row r="13" spans="2:18" x14ac:dyDescent="0.25">
      <c r="B13" s="23" t="s">
        <v>39</v>
      </c>
      <c r="C13" s="45"/>
      <c r="D13" s="46"/>
      <c r="E13" s="46"/>
      <c r="F13" s="47"/>
      <c r="G13" s="45"/>
      <c r="H13" s="46"/>
      <c r="I13" s="46"/>
      <c r="J13" s="46"/>
      <c r="K13" s="46"/>
      <c r="L13" s="47"/>
      <c r="M13" s="45"/>
      <c r="N13" s="47">
        <v>12334.64</v>
      </c>
      <c r="O13" s="48"/>
      <c r="P13" s="46"/>
      <c r="Q13" s="47"/>
    </row>
    <row r="14" spans="2:18" ht="30" x14ac:dyDescent="0.25">
      <c r="B14" s="23" t="s">
        <v>29</v>
      </c>
      <c r="C14" s="45"/>
      <c r="D14" s="46"/>
      <c r="E14" s="46"/>
      <c r="F14" s="47"/>
      <c r="G14" s="45"/>
      <c r="H14" s="46"/>
      <c r="I14" s="46"/>
      <c r="J14" s="46"/>
      <c r="K14" s="46"/>
      <c r="L14" s="47"/>
      <c r="M14" s="45"/>
      <c r="N14" s="47"/>
      <c r="O14" s="48"/>
      <c r="P14" s="46"/>
      <c r="Q14" s="47"/>
    </row>
    <row r="15" spans="2:18" x14ac:dyDescent="0.25">
      <c r="B15" s="23" t="s">
        <v>4</v>
      </c>
      <c r="C15" s="45"/>
      <c r="D15" s="46"/>
      <c r="E15" s="46"/>
      <c r="F15" s="47"/>
      <c r="G15" s="45"/>
      <c r="H15" s="46"/>
      <c r="I15" s="46"/>
      <c r="J15" s="46"/>
      <c r="K15" s="46"/>
      <c r="L15" s="47"/>
      <c r="M15" s="45"/>
      <c r="N15" s="47">
        <f>SUM(7101.51+2584.41)</f>
        <v>9685.92</v>
      </c>
      <c r="O15" s="48"/>
      <c r="P15" s="46"/>
      <c r="Q15" s="47"/>
    </row>
    <row r="16" spans="2:18" x14ac:dyDescent="0.25">
      <c r="B16" s="23" t="s">
        <v>40</v>
      </c>
      <c r="C16" s="45"/>
      <c r="D16" s="46"/>
      <c r="E16" s="46"/>
      <c r="F16" s="47"/>
      <c r="G16" s="45"/>
      <c r="H16" s="46"/>
      <c r="I16" s="46"/>
      <c r="J16" s="46"/>
      <c r="K16" s="46"/>
      <c r="L16" s="47"/>
      <c r="M16" s="45"/>
      <c r="N16" s="47">
        <f>SUM(285952.78+24785.56)</f>
        <v>310738.34000000003</v>
      </c>
      <c r="O16" s="48"/>
      <c r="P16" s="46" t="s">
        <v>63</v>
      </c>
      <c r="Q16" s="47"/>
      <c r="R16" s="1" t="s">
        <v>56</v>
      </c>
    </row>
    <row r="17" spans="2:18" x14ac:dyDescent="0.25">
      <c r="B17" s="23" t="s">
        <v>5</v>
      </c>
      <c r="C17" s="45"/>
      <c r="D17" s="46"/>
      <c r="E17" s="46"/>
      <c r="F17" s="47"/>
      <c r="G17" s="45"/>
      <c r="H17" s="46"/>
      <c r="I17" s="46"/>
      <c r="J17" s="46"/>
      <c r="K17" s="46"/>
      <c r="L17" s="47"/>
      <c r="M17" s="45"/>
      <c r="N17" s="47"/>
      <c r="O17" s="48"/>
      <c r="P17" s="46"/>
      <c r="Q17" s="47"/>
    </row>
    <row r="18" spans="2:18" x14ac:dyDescent="0.25">
      <c r="B18" s="23" t="s">
        <v>6</v>
      </c>
      <c r="C18" s="45"/>
      <c r="D18" s="46"/>
      <c r="E18" s="46"/>
      <c r="F18" s="47"/>
      <c r="G18" s="45"/>
      <c r="H18" s="46"/>
      <c r="I18" s="46"/>
      <c r="J18" s="46"/>
      <c r="K18" s="46"/>
      <c r="L18" s="47"/>
      <c r="M18" s="45"/>
      <c r="N18" s="47">
        <f>SUM(173387.04+8416.93)</f>
        <v>181803.97</v>
      </c>
      <c r="O18" s="48"/>
      <c r="P18" s="46" t="s">
        <v>62</v>
      </c>
      <c r="Q18" s="47"/>
      <c r="R18" s="1" t="s">
        <v>56</v>
      </c>
    </row>
    <row r="19" spans="2:18" x14ac:dyDescent="0.25">
      <c r="B19" s="24" t="s">
        <v>7</v>
      </c>
      <c r="C19" s="45"/>
      <c r="D19" s="46"/>
      <c r="E19" s="46"/>
      <c r="F19" s="47"/>
      <c r="G19" s="45"/>
      <c r="H19" s="46"/>
      <c r="I19" s="46"/>
      <c r="J19" s="46"/>
      <c r="K19" s="46"/>
      <c r="L19" s="47"/>
      <c r="M19" s="45">
        <f>SUM(M11:M18)</f>
        <v>12149.15</v>
      </c>
      <c r="N19" s="47">
        <f>SUM(N11:N18)</f>
        <v>1056797.07</v>
      </c>
      <c r="O19" s="48"/>
      <c r="P19" s="46"/>
      <c r="Q19" s="47"/>
    </row>
    <row r="20" spans="2:18" x14ac:dyDescent="0.25">
      <c r="B20" s="25"/>
      <c r="C20" s="49"/>
      <c r="D20" s="50"/>
      <c r="E20" s="50"/>
      <c r="F20" s="51"/>
      <c r="G20" s="49"/>
      <c r="H20" s="50"/>
      <c r="I20" s="50"/>
      <c r="J20" s="50"/>
      <c r="K20" s="50"/>
      <c r="L20" s="51"/>
      <c r="M20" s="49"/>
      <c r="N20" s="51"/>
      <c r="O20" s="52"/>
      <c r="P20" s="50"/>
      <c r="Q20" s="51"/>
    </row>
    <row r="21" spans="2:18" x14ac:dyDescent="0.25">
      <c r="B21" s="23" t="s">
        <v>8</v>
      </c>
      <c r="C21" s="45"/>
      <c r="D21" s="46"/>
      <c r="E21" s="46"/>
      <c r="F21" s="47"/>
      <c r="G21" s="45"/>
      <c r="H21" s="46"/>
      <c r="I21" s="46"/>
      <c r="J21" s="46"/>
      <c r="K21" s="46"/>
      <c r="L21" s="47"/>
      <c r="M21" s="45">
        <f>SUM(1189322.06+242400.76)</f>
        <v>1431722.82</v>
      </c>
      <c r="N21" s="47"/>
      <c r="O21" s="48"/>
      <c r="P21" s="46"/>
      <c r="Q21" s="47"/>
    </row>
    <row r="22" spans="2:18" x14ac:dyDescent="0.25">
      <c r="B22" s="23" t="s">
        <v>27</v>
      </c>
      <c r="C22" s="45"/>
      <c r="D22" s="46"/>
      <c r="E22" s="46"/>
      <c r="F22" s="47"/>
      <c r="G22" s="45"/>
      <c r="H22" s="46"/>
      <c r="I22" s="46"/>
      <c r="J22" s="46"/>
      <c r="K22" s="46"/>
      <c r="L22" s="47"/>
      <c r="M22" s="45">
        <f>SUM(802284.76+223002.18)</f>
        <v>1025286.94</v>
      </c>
      <c r="N22" s="47"/>
      <c r="O22" s="48"/>
      <c r="P22" s="46"/>
      <c r="Q22" s="47"/>
    </row>
    <row r="23" spans="2:18" x14ac:dyDescent="0.25">
      <c r="B23" s="23" t="s">
        <v>28</v>
      </c>
      <c r="C23" s="45"/>
      <c r="D23" s="46"/>
      <c r="E23" s="46"/>
      <c r="F23" s="47"/>
      <c r="G23" s="45">
        <v>779517.64</v>
      </c>
      <c r="H23" s="46"/>
      <c r="I23" s="46"/>
      <c r="J23" s="46"/>
      <c r="K23" s="46">
        <v>221200.26</v>
      </c>
      <c r="L23" s="47"/>
      <c r="M23" s="45">
        <f>SUM(5579984.89+1428536.68)</f>
        <v>7008521.5699999994</v>
      </c>
      <c r="N23" s="47"/>
      <c r="O23" s="48"/>
      <c r="P23" s="46"/>
      <c r="Q23" s="47"/>
    </row>
    <row r="24" spans="2:18" x14ac:dyDescent="0.25">
      <c r="B24" s="23" t="s">
        <v>26</v>
      </c>
      <c r="C24" s="45"/>
      <c r="D24" s="46"/>
      <c r="E24" s="46"/>
      <c r="F24" s="47"/>
      <c r="G24" s="45"/>
      <c r="H24" s="46"/>
      <c r="I24" s="46"/>
      <c r="J24" s="46"/>
      <c r="K24" s="46"/>
      <c r="L24" s="47"/>
      <c r="M24" s="45"/>
      <c r="N24" s="47"/>
      <c r="O24" s="48"/>
      <c r="P24" s="46"/>
      <c r="Q24" s="47"/>
    </row>
    <row r="25" spans="2:18" ht="30" x14ac:dyDescent="0.25">
      <c r="B25" s="23" t="s">
        <v>29</v>
      </c>
      <c r="C25" s="45"/>
      <c r="D25" s="46"/>
      <c r="E25" s="46"/>
      <c r="F25" s="47"/>
      <c r="G25" s="45"/>
      <c r="H25" s="46"/>
      <c r="I25" s="46"/>
      <c r="J25" s="46"/>
      <c r="K25" s="46"/>
      <c r="L25" s="47"/>
      <c r="M25" s="45">
        <v>84.56</v>
      </c>
      <c r="N25" s="47"/>
      <c r="O25" s="48"/>
      <c r="P25" s="46"/>
      <c r="Q25" s="47"/>
    </row>
    <row r="26" spans="2:18" x14ac:dyDescent="0.25">
      <c r="B26" s="23" t="s">
        <v>30</v>
      </c>
      <c r="C26" s="45"/>
      <c r="D26" s="46"/>
      <c r="E26" s="46"/>
      <c r="F26" s="47"/>
      <c r="G26" s="45"/>
      <c r="H26" s="46"/>
      <c r="I26" s="46"/>
      <c r="J26" s="46"/>
      <c r="K26" s="46"/>
      <c r="L26" s="47"/>
      <c r="M26" s="45">
        <f>SUM(439938.35+135716.42)</f>
        <v>575654.77</v>
      </c>
      <c r="N26" s="47"/>
      <c r="O26" s="48"/>
      <c r="P26" s="46"/>
      <c r="Q26" s="47"/>
    </row>
    <row r="27" spans="2:18" x14ac:dyDescent="0.25">
      <c r="B27" s="24" t="s">
        <v>9</v>
      </c>
      <c r="C27" s="45"/>
      <c r="D27" s="46"/>
      <c r="E27" s="46"/>
      <c r="F27" s="47"/>
      <c r="G27" s="45"/>
      <c r="H27" s="46"/>
      <c r="I27" s="46"/>
      <c r="J27" s="46"/>
      <c r="K27" s="46"/>
      <c r="L27" s="47"/>
      <c r="M27" s="45">
        <f>SUM(M21:M26)</f>
        <v>10041270.659999998</v>
      </c>
      <c r="N27" s="47">
        <f>SUM(N21:N26)</f>
        <v>0</v>
      </c>
      <c r="O27" s="48"/>
      <c r="P27" s="46"/>
      <c r="Q27" s="47"/>
    </row>
    <row r="28" spans="2:18" x14ac:dyDescent="0.25">
      <c r="B28" s="25"/>
      <c r="C28" s="49"/>
      <c r="D28" s="50"/>
      <c r="E28" s="50"/>
      <c r="F28" s="51"/>
      <c r="G28" s="49"/>
      <c r="H28" s="50"/>
      <c r="I28" s="50"/>
      <c r="J28" s="50"/>
      <c r="K28" s="50"/>
      <c r="L28" s="51"/>
      <c r="M28" s="49"/>
      <c r="N28" s="51"/>
      <c r="O28" s="52"/>
      <c r="P28" s="50"/>
      <c r="Q28" s="51"/>
    </row>
    <row r="29" spans="2:18" x14ac:dyDescent="0.25">
      <c r="B29" s="24" t="s">
        <v>31</v>
      </c>
      <c r="C29" s="45"/>
      <c r="D29" s="46"/>
      <c r="E29" s="46"/>
      <c r="F29" s="47"/>
      <c r="G29" s="45"/>
      <c r="H29" s="46"/>
      <c r="I29" s="46"/>
      <c r="J29" s="46"/>
      <c r="K29" s="46"/>
      <c r="L29" s="47"/>
      <c r="M29" s="45">
        <f>SUM(1665390.14+399933.68)</f>
        <v>2065323.8199999998</v>
      </c>
      <c r="N29" s="47">
        <f>SUM(578745.17+1113536.66)</f>
        <v>1692281.83</v>
      </c>
      <c r="O29" s="48"/>
      <c r="P29" s="46"/>
      <c r="Q29" s="47"/>
    </row>
    <row r="30" spans="2:18" x14ac:dyDescent="0.25">
      <c r="B30" s="25"/>
      <c r="C30" s="49"/>
      <c r="D30" s="50"/>
      <c r="E30" s="50"/>
      <c r="F30" s="51"/>
      <c r="G30" s="49"/>
      <c r="H30" s="50"/>
      <c r="I30" s="50"/>
      <c r="J30" s="50"/>
      <c r="K30" s="50"/>
      <c r="L30" s="51"/>
      <c r="M30" s="49"/>
      <c r="N30" s="51"/>
      <c r="O30" s="52"/>
      <c r="P30" s="50"/>
      <c r="Q30" s="51"/>
    </row>
    <row r="31" spans="2:18" x14ac:dyDescent="0.25">
      <c r="B31" s="23" t="s">
        <v>10</v>
      </c>
      <c r="C31" s="45"/>
      <c r="D31" s="46"/>
      <c r="E31" s="46"/>
      <c r="F31" s="47"/>
      <c r="G31" s="45"/>
      <c r="H31" s="46"/>
      <c r="I31" s="46"/>
      <c r="J31" s="46"/>
      <c r="K31" s="46"/>
      <c r="L31" s="47"/>
      <c r="M31" s="45"/>
      <c r="N31" s="47"/>
      <c r="O31" s="48"/>
      <c r="P31" s="46"/>
      <c r="Q31" s="47"/>
    </row>
    <row r="32" spans="2:18" x14ac:dyDescent="0.25">
      <c r="B32" s="23" t="s">
        <v>11</v>
      </c>
      <c r="C32" s="45"/>
      <c r="D32" s="46"/>
      <c r="E32" s="46"/>
      <c r="F32" s="47"/>
      <c r="G32" s="45"/>
      <c r="H32" s="46"/>
      <c r="I32" s="46"/>
      <c r="J32" s="46"/>
      <c r="K32" s="46"/>
      <c r="L32" s="47"/>
      <c r="M32" s="45"/>
      <c r="N32" s="47"/>
      <c r="O32" s="48"/>
      <c r="P32" s="46"/>
      <c r="Q32" s="47"/>
    </row>
    <row r="33" spans="2:18" x14ac:dyDescent="0.25">
      <c r="B33" s="23" t="s">
        <v>12</v>
      </c>
      <c r="C33" s="45"/>
      <c r="D33" s="46"/>
      <c r="E33" s="46"/>
      <c r="F33" s="47"/>
      <c r="G33" s="45"/>
      <c r="H33" s="46"/>
      <c r="I33" s="46"/>
      <c r="J33" s="46"/>
      <c r="K33" s="46"/>
      <c r="L33" s="47"/>
      <c r="M33" s="45"/>
      <c r="N33" s="47"/>
      <c r="O33" s="48"/>
      <c r="P33" s="46"/>
      <c r="Q33" s="47"/>
    </row>
    <row r="34" spans="2:18" ht="30" x14ac:dyDescent="0.25">
      <c r="B34" s="24" t="s">
        <v>13</v>
      </c>
      <c r="C34" s="45"/>
      <c r="D34" s="46"/>
      <c r="E34" s="46"/>
      <c r="F34" s="47"/>
      <c r="G34" s="45"/>
      <c r="H34" s="46"/>
      <c r="I34" s="46"/>
      <c r="J34" s="46"/>
      <c r="K34" s="46"/>
      <c r="L34" s="47"/>
      <c r="M34" s="45"/>
      <c r="N34" s="47"/>
      <c r="O34" s="48"/>
      <c r="P34" s="46"/>
      <c r="Q34" s="47"/>
    </row>
    <row r="35" spans="2:18" x14ac:dyDescent="0.25">
      <c r="B35" s="26"/>
      <c r="C35" s="49"/>
      <c r="D35" s="50"/>
      <c r="E35" s="50"/>
      <c r="F35" s="51"/>
      <c r="G35" s="49"/>
      <c r="H35" s="50"/>
      <c r="I35" s="50"/>
      <c r="J35" s="50"/>
      <c r="K35" s="50"/>
      <c r="L35" s="51"/>
      <c r="M35" s="49"/>
      <c r="N35" s="51"/>
      <c r="O35" s="52"/>
      <c r="P35" s="50"/>
      <c r="Q35" s="51"/>
    </row>
    <row r="36" spans="2:18" x14ac:dyDescent="0.25">
      <c r="B36" s="24" t="s">
        <v>14</v>
      </c>
      <c r="C36" s="53"/>
      <c r="D36" s="54"/>
      <c r="E36" s="54"/>
      <c r="F36" s="55"/>
      <c r="G36" s="53"/>
      <c r="H36" s="54"/>
      <c r="I36" s="54"/>
      <c r="J36" s="54"/>
      <c r="K36" s="54"/>
      <c r="L36" s="55"/>
      <c r="M36" s="53">
        <v>23741.41</v>
      </c>
      <c r="N36" s="55">
        <v>707649.02</v>
      </c>
      <c r="O36" s="56" t="s">
        <v>65</v>
      </c>
      <c r="P36" s="54"/>
      <c r="Q36" s="55"/>
      <c r="R36" s="1" t="s">
        <v>56</v>
      </c>
    </row>
    <row r="37" spans="2:18" x14ac:dyDescent="0.25">
      <c r="B37" s="26"/>
      <c r="C37" s="49"/>
      <c r="D37" s="50"/>
      <c r="E37" s="50"/>
      <c r="F37" s="51"/>
      <c r="G37" s="49"/>
      <c r="H37" s="50"/>
      <c r="I37" s="50"/>
      <c r="J37" s="50"/>
      <c r="K37" s="50"/>
      <c r="L37" s="51"/>
      <c r="M37" s="49"/>
      <c r="N37" s="51"/>
      <c r="O37" s="52"/>
      <c r="P37" s="50"/>
      <c r="Q37" s="51"/>
    </row>
    <row r="38" spans="2:18" x14ac:dyDescent="0.25">
      <c r="B38" s="24" t="s">
        <v>32</v>
      </c>
      <c r="C38" s="45"/>
      <c r="D38" s="46"/>
      <c r="E38" s="46"/>
      <c r="F38" s="47"/>
      <c r="G38" s="45"/>
      <c r="H38" s="46"/>
      <c r="I38" s="46"/>
      <c r="J38" s="46"/>
      <c r="K38" s="46"/>
      <c r="L38" s="47"/>
      <c r="M38" s="45"/>
      <c r="N38" s="47">
        <f>SUM(558323.34+244974.54)</f>
        <v>803297.88</v>
      </c>
      <c r="O38" s="48"/>
      <c r="P38" s="46"/>
      <c r="Q38" s="47"/>
    </row>
    <row r="39" spans="2:18" x14ac:dyDescent="0.25">
      <c r="B39" s="25"/>
      <c r="C39" s="49"/>
      <c r="D39" s="50"/>
      <c r="E39" s="50"/>
      <c r="F39" s="51"/>
      <c r="G39" s="49"/>
      <c r="H39" s="50"/>
      <c r="I39" s="50"/>
      <c r="J39" s="50"/>
      <c r="K39" s="50"/>
      <c r="L39" s="51"/>
      <c r="M39" s="49"/>
      <c r="N39" s="51"/>
      <c r="O39" s="52"/>
      <c r="P39" s="50"/>
      <c r="Q39" s="51"/>
    </row>
    <row r="40" spans="2:18" ht="15.75" thickBot="1" x14ac:dyDescent="0.3">
      <c r="B40" s="27" t="s">
        <v>15</v>
      </c>
      <c r="C40" s="57"/>
      <c r="D40" s="58"/>
      <c r="E40" s="58"/>
      <c r="F40" s="59"/>
      <c r="G40" s="57">
        <v>779517.64</v>
      </c>
      <c r="H40" s="58"/>
      <c r="I40" s="58"/>
      <c r="J40" s="58"/>
      <c r="K40" s="58">
        <v>221200.26</v>
      </c>
      <c r="L40" s="59"/>
      <c r="M40" s="57">
        <f>SUM(M19,M27,M29,M36)</f>
        <v>12142485.039999999</v>
      </c>
      <c r="N40" s="59">
        <f>SUM(N19, N27, N29, N36, N38)</f>
        <v>4260025.8000000007</v>
      </c>
      <c r="O40" s="60">
        <v>2366</v>
      </c>
      <c r="P40" s="58">
        <v>5183.99</v>
      </c>
      <c r="Q40" s="59"/>
    </row>
  </sheetData>
  <mergeCells count="10">
    <mergeCell ref="M4:N9"/>
    <mergeCell ref="O4:Q9"/>
    <mergeCell ref="C4:F6"/>
    <mergeCell ref="G4:L6"/>
    <mergeCell ref="B4:B10"/>
    <mergeCell ref="I7:J9"/>
    <mergeCell ref="K7:L9"/>
    <mergeCell ref="C7:D9"/>
    <mergeCell ref="E7:F9"/>
    <mergeCell ref="G7:H9"/>
  </mergeCells>
  <pageMargins left="0.7" right="0.7" top="0.75" bottom="0.75" header="0.3" footer="0.3"/>
  <pageSetup scale="62" orientation="landscape"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Notes</vt:lpstr>
      <vt:lpstr>2015</vt:lpstr>
      <vt:lpstr>2016</vt:lpstr>
      <vt:lpstr>2017</vt:lpstr>
      <vt:lpstr>2018</vt:lpstr>
      <vt:lpstr>'2015'!Print_Area</vt:lpstr>
      <vt:lpstr>'2017'!Print_Area</vt:lpstr>
    </vt:vector>
  </TitlesOfParts>
  <Company>AGO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Courtney Aladro</dc:creator>
  <cp:lastModifiedBy>Beth Cantafio</cp:lastModifiedBy>
  <cp:lastPrinted>2019-10-03T17:05:55Z</cp:lastPrinted>
  <dcterms:created xsi:type="dcterms:W3CDTF">2013-08-09T13:32:19Z</dcterms:created>
  <dcterms:modified xsi:type="dcterms:W3CDTF">2019-10-03T17:06:14Z</dcterms:modified>
</cp:coreProperties>
</file>